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615" yWindow="0" windowWidth="13080" windowHeight="15375"/>
  </bookViews>
  <sheets>
    <sheet name="기업명" sheetId="1" r:id="rId1"/>
    <sheet name="출력서식" sheetId="5" r:id="rId2"/>
    <sheet name="경제적 성과 산정표(예시)" sheetId="7" r:id="rId3"/>
    <sheet name="목록시트" sheetId="6" r:id="rId4"/>
  </sheets>
  <definedNames>
    <definedName name="_xlnm.Print_Area" localSheetId="1">출력서식!$A$1:$Y$516</definedName>
    <definedName name="강원특별자치도">목록시트!$W$4:$W$21</definedName>
    <definedName name="경기도">목록시트!$O$4:$O$34</definedName>
    <definedName name="경상남도">목록시트!$U$4:$U$21</definedName>
    <definedName name="경상북도">목록시트!$T$4:$T$25</definedName>
    <definedName name="광주광역시">목록시트!$K$4:$K$8</definedName>
    <definedName name="대구광역시">목록시트!$I$4:$I$12</definedName>
    <definedName name="대전광역시">목록시트!$L$4:$L$8</definedName>
    <definedName name="부산광역시">목록시트!$H$4:$H$19</definedName>
    <definedName name="서울특별시">목록시트!$G$4:$G$28</definedName>
    <definedName name="세종특별자치시">목록시트!$N$4</definedName>
    <definedName name="시도">목록시트!$G$3:$W$3</definedName>
    <definedName name="울산광역시">목록시트!$M$4:$M$8</definedName>
    <definedName name="인천광역시">목록시트!$J$4:$J$13</definedName>
    <definedName name="전라남도">목록시트!$S$4:$S$25</definedName>
    <definedName name="전라북도">목록시트!$R$4:$R$17</definedName>
    <definedName name="제주특별자치도">목록시트!$V$4:$V$5</definedName>
    <definedName name="충청남도">목록시트!$Q$4:$Q$18</definedName>
    <definedName name="충청북도">목록시트!$P$4:$P$14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57" i="1" l="1"/>
  <c r="BR259" i="1"/>
  <c r="BR261" i="1"/>
  <c r="BR263" i="1"/>
  <c r="BR255" i="1"/>
  <c r="BR245" i="1"/>
  <c r="BR247" i="1"/>
  <c r="BR249" i="1"/>
  <c r="BR251" i="1"/>
  <c r="BR243" i="1"/>
  <c r="I188" i="1"/>
  <c r="AC176" i="1" l="1"/>
  <c r="AH176" i="1" s="1"/>
  <c r="BK185" i="1"/>
  <c r="BK175" i="1"/>
  <c r="AN167" i="1"/>
  <c r="AN168" i="1" s="1"/>
  <c r="AC186" i="1"/>
  <c r="AH186" i="1" s="1"/>
  <c r="AC185" i="1"/>
  <c r="AH185" i="1" s="1"/>
  <c r="AC184" i="1"/>
  <c r="AH184" i="1" s="1"/>
  <c r="AC183" i="1"/>
  <c r="AH183" i="1" s="1"/>
  <c r="AC182" i="1"/>
  <c r="AH182" i="1" s="1"/>
  <c r="AC181" i="1"/>
  <c r="AH181" i="1" s="1"/>
  <c r="AC180" i="1"/>
  <c r="AH180" i="1" s="1"/>
  <c r="AC179" i="1"/>
  <c r="AH179" i="1" s="1"/>
  <c r="AC178" i="1"/>
  <c r="AH178" i="1" s="1"/>
  <c r="AC177" i="1"/>
  <c r="AH177" i="1" s="1"/>
  <c r="AC175" i="1"/>
  <c r="AH175" i="1" s="1"/>
  <c r="AC174" i="1"/>
  <c r="AH174" i="1" s="1"/>
  <c r="AC173" i="1"/>
  <c r="AH173" i="1" s="1"/>
  <c r="AC172" i="1"/>
  <c r="AH172" i="1" s="1"/>
  <c r="AC171" i="1"/>
  <c r="AH171" i="1" s="1"/>
  <c r="AC170" i="1"/>
  <c r="AH170" i="1" s="1"/>
  <c r="AC169" i="1"/>
  <c r="AH169" i="1" s="1"/>
  <c r="AC168" i="1"/>
  <c r="AH168" i="1" l="1"/>
  <c r="BP245" i="1"/>
  <c r="BP247" i="1"/>
  <c r="BP249" i="1"/>
  <c r="BP251" i="1"/>
  <c r="BP234" i="1"/>
  <c r="BP236" i="1"/>
  <c r="BP238" i="1"/>
  <c r="BP240" i="1"/>
  <c r="BP223" i="1"/>
  <c r="BP225" i="1"/>
  <c r="BP227" i="1"/>
  <c r="BP229" i="1"/>
  <c r="BP212" i="1"/>
  <c r="BP214" i="1"/>
  <c r="BP216" i="1"/>
  <c r="BP218" i="1"/>
  <c r="BP210" i="1"/>
  <c r="BP221" i="1"/>
  <c r="AN177" i="1" l="1"/>
  <c r="AN178" i="1" s="1"/>
  <c r="I504" i="5"/>
  <c r="N171" i="5"/>
  <c r="N506" i="5" l="1"/>
  <c r="I506" i="5"/>
  <c r="N504" i="5"/>
  <c r="Q511" i="5"/>
  <c r="X508" i="5"/>
  <c r="W508" i="5"/>
  <c r="U508" i="5"/>
  <c r="S471" i="5" l="1"/>
  <c r="S470" i="5"/>
  <c r="S469" i="5"/>
  <c r="S468" i="5"/>
  <c r="S467" i="5"/>
  <c r="S466" i="5"/>
  <c r="S465" i="5"/>
  <c r="S464" i="5"/>
  <c r="S463" i="5"/>
  <c r="S462" i="5"/>
  <c r="S461" i="5"/>
  <c r="S460" i="5"/>
  <c r="S459" i="5"/>
  <c r="S458" i="5"/>
  <c r="S457" i="5"/>
  <c r="S456" i="5"/>
  <c r="S455" i="5"/>
  <c r="S454" i="5"/>
  <c r="S453" i="5"/>
  <c r="S452" i="5"/>
  <c r="S451" i="5"/>
  <c r="S450" i="5"/>
  <c r="S449" i="5"/>
  <c r="S448" i="5"/>
  <c r="S447" i="5"/>
  <c r="S446" i="5"/>
  <c r="S445" i="5"/>
  <c r="S444" i="5"/>
  <c r="S443" i="5"/>
  <c r="S442" i="5"/>
  <c r="S441" i="5"/>
  <c r="S440" i="5"/>
  <c r="S439" i="5"/>
  <c r="S438" i="5"/>
  <c r="S437" i="5"/>
  <c r="S436" i="5"/>
  <c r="S435" i="5"/>
  <c r="S434" i="5"/>
  <c r="S433" i="5"/>
  <c r="S432" i="5"/>
  <c r="S431" i="5"/>
  <c r="S430" i="5"/>
  <c r="S429" i="5"/>
  <c r="Q471" i="5"/>
  <c r="Q470" i="5"/>
  <c r="Q469" i="5"/>
  <c r="Q468" i="5"/>
  <c r="Q467" i="5"/>
  <c r="Q466" i="5"/>
  <c r="Q465" i="5"/>
  <c r="Q464" i="5"/>
  <c r="Q463" i="5"/>
  <c r="Q462" i="5"/>
  <c r="Q461" i="5"/>
  <c r="Q460" i="5"/>
  <c r="Q459" i="5"/>
  <c r="Q458" i="5"/>
  <c r="Q457" i="5"/>
  <c r="Q456" i="5"/>
  <c r="Q455" i="5"/>
  <c r="Q454" i="5"/>
  <c r="Q453" i="5"/>
  <c r="Q452" i="5"/>
  <c r="Q451" i="5"/>
  <c r="Q450" i="5"/>
  <c r="Q449" i="5"/>
  <c r="Q448" i="5"/>
  <c r="Q447" i="5"/>
  <c r="Q446" i="5"/>
  <c r="Q445" i="5"/>
  <c r="Q444" i="5"/>
  <c r="Q443" i="5"/>
  <c r="Q442" i="5"/>
  <c r="Q441" i="5"/>
  <c r="Q440" i="5"/>
  <c r="Q439" i="5"/>
  <c r="Q438" i="5"/>
  <c r="Q437" i="5"/>
  <c r="Q436" i="5"/>
  <c r="Q435" i="5"/>
  <c r="Q434" i="5"/>
  <c r="Q433" i="5"/>
  <c r="Q432" i="5"/>
  <c r="Q431" i="5"/>
  <c r="Q430" i="5"/>
  <c r="Q429" i="5"/>
  <c r="U27" i="5" l="1"/>
  <c r="U26" i="5"/>
  <c r="K26" i="5"/>
  <c r="K24" i="5"/>
  <c r="I23" i="5"/>
  <c r="L23" i="5"/>
  <c r="I21" i="5"/>
  <c r="T19" i="5"/>
  <c r="U18" i="5"/>
  <c r="U17" i="5"/>
  <c r="U16" i="5"/>
  <c r="K16" i="5"/>
  <c r="S15" i="5"/>
  <c r="K15" i="5"/>
  <c r="U14" i="5"/>
  <c r="U13" i="5"/>
  <c r="K13" i="5"/>
  <c r="S12" i="5"/>
  <c r="K12" i="5"/>
  <c r="I10" i="5"/>
  <c r="L10" i="5"/>
  <c r="I9" i="5"/>
  <c r="I8" i="5"/>
  <c r="I6" i="5"/>
  <c r="Q38" i="5" s="1"/>
  <c r="T4" i="5"/>
  <c r="O80" i="5" l="1"/>
  <c r="M80" i="5"/>
  <c r="J80" i="5"/>
  <c r="M66" i="5"/>
  <c r="W33" i="5"/>
  <c r="V33" i="5"/>
  <c r="T33" i="5"/>
  <c r="S24" i="5" l="1"/>
  <c r="T21" i="5"/>
  <c r="I19" i="5"/>
  <c r="T8" i="5"/>
  <c r="T6" i="5"/>
  <c r="H58" i="1"/>
  <c r="Z254" i="1"/>
  <c r="Z253" i="1"/>
  <c r="AH190" i="1"/>
  <c r="H124" i="1"/>
  <c r="H131" i="1"/>
  <c r="I4" i="5" l="1"/>
  <c r="E511" i="5"/>
  <c r="H104" i="1"/>
  <c r="BG185" i="1"/>
  <c r="BG183" i="1"/>
  <c r="BG181" i="1"/>
  <c r="BG179" i="1"/>
  <c r="BG177" i="1"/>
  <c r="BG175" i="1"/>
  <c r="K440" i="1" l="1"/>
  <c r="H440" i="1" s="1"/>
  <c r="K439" i="1"/>
  <c r="H439" i="1" s="1"/>
  <c r="K438" i="1"/>
  <c r="H438" i="1" s="1"/>
  <c r="K437" i="1"/>
  <c r="H437" i="1" s="1"/>
  <c r="K436" i="1"/>
  <c r="H436" i="1" s="1"/>
  <c r="K435" i="1"/>
  <c r="K434" i="1"/>
  <c r="K433" i="1"/>
  <c r="K432" i="1"/>
  <c r="H432" i="1" s="1"/>
  <c r="K431" i="1"/>
  <c r="H431" i="1" s="1"/>
  <c r="K430" i="1"/>
  <c r="H430" i="1" s="1"/>
  <c r="K429" i="1"/>
  <c r="H429" i="1" s="1"/>
  <c r="K428" i="1"/>
  <c r="H428" i="1" s="1"/>
  <c r="K427" i="1"/>
  <c r="K426" i="1"/>
  <c r="K425" i="1"/>
  <c r="H420"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363" i="1"/>
  <c r="H364" i="1"/>
  <c r="H365" i="1"/>
  <c r="H366" i="1"/>
  <c r="H367" i="1"/>
  <c r="H368" i="1"/>
  <c r="H369" i="1"/>
  <c r="H370" i="1"/>
  <c r="H371" i="1"/>
  <c r="H372" i="1"/>
  <c r="H373" i="1"/>
  <c r="H374" i="1"/>
  <c r="H375" i="1"/>
  <c r="H376" i="1"/>
  <c r="H377" i="1"/>
  <c r="H378" i="1"/>
  <c r="H379" i="1"/>
  <c r="H380" i="1"/>
  <c r="H381" i="1"/>
  <c r="H382" i="1"/>
  <c r="H383" i="1"/>
  <c r="H384" i="1"/>
  <c r="H385" i="1"/>
  <c r="H362" i="1"/>
  <c r="H361" i="1"/>
  <c r="AB442" i="1" l="1"/>
  <c r="AB441" i="1"/>
  <c r="AB443" i="1" l="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AB422" i="1"/>
  <c r="AB423" i="1"/>
  <c r="AB421" i="1" l="1"/>
  <c r="H421" i="1"/>
  <c r="H423" i="1"/>
  <c r="H424" i="1" s="1"/>
  <c r="H422" i="1"/>
  <c r="N424" i="1"/>
  <c r="AB424" i="1"/>
  <c r="AB17" i="1"/>
  <c r="H21" i="1"/>
  <c r="I240" i="1"/>
  <c r="AF240" i="1" s="1"/>
  <c r="I238" i="1"/>
  <c r="AF238" i="1" s="1"/>
  <c r="I236" i="1"/>
  <c r="AF236" i="1" s="1"/>
  <c r="I234" i="1"/>
  <c r="AF234" i="1" s="1"/>
  <c r="I232" i="1"/>
  <c r="AF232" i="1" s="1"/>
  <c r="I229" i="1"/>
  <c r="AF229" i="1" s="1"/>
  <c r="I227" i="1"/>
  <c r="AF227" i="1" s="1"/>
  <c r="I225" i="1"/>
  <c r="AF225" i="1" s="1"/>
  <c r="I223" i="1"/>
  <c r="AF223" i="1" s="1"/>
  <c r="I221" i="1"/>
  <c r="AF221" i="1" s="1"/>
  <c r="I218" i="1"/>
  <c r="AF218" i="1" s="1"/>
  <c r="I216" i="1"/>
  <c r="AF216" i="1" s="1"/>
  <c r="I214" i="1"/>
  <c r="AF214" i="1" s="1"/>
  <c r="I212" i="1"/>
  <c r="AF212" i="1" s="1"/>
  <c r="I210" i="1"/>
  <c r="AF210" i="1" s="1"/>
  <c r="I207" i="1"/>
  <c r="AF207" i="1" s="1"/>
  <c r="I205" i="1"/>
  <c r="AF205" i="1" s="1"/>
  <c r="I203" i="1"/>
  <c r="AF203" i="1" s="1"/>
  <c r="I201" i="1"/>
  <c r="AF201" i="1" s="1"/>
  <c r="I199" i="1"/>
  <c r="AF199" i="1" s="1"/>
  <c r="I196" i="1"/>
  <c r="AF196" i="1" s="1"/>
  <c r="I194" i="1"/>
  <c r="AF194" i="1" s="1"/>
  <c r="I192" i="1"/>
  <c r="AF192" i="1" s="1"/>
  <c r="I190" i="1"/>
  <c r="AF190" i="1" s="1"/>
  <c r="AF188" i="1"/>
  <c r="I185" i="1"/>
  <c r="I183" i="1"/>
  <c r="I181" i="1"/>
  <c r="I179" i="1"/>
  <c r="I177" i="1"/>
  <c r="I175" i="1"/>
  <c r="I173" i="1"/>
  <c r="I171" i="1"/>
  <c r="I169" i="1"/>
  <c r="I167" i="1"/>
  <c r="AF167" i="1" l="1"/>
  <c r="AF168" i="1"/>
  <c r="BR168" i="1" s="1"/>
  <c r="AF170" i="1"/>
  <c r="BR170" i="1" s="1"/>
  <c r="AF169" i="1"/>
  <c r="BR169" i="1" s="1"/>
  <c r="AF171" i="1"/>
  <c r="BR171" i="1" s="1"/>
  <c r="AF172" i="1"/>
  <c r="BR172" i="1" s="1"/>
  <c r="AF185" i="1"/>
  <c r="BR185" i="1" s="1"/>
  <c r="AF186" i="1"/>
  <c r="BR186" i="1" s="1"/>
  <c r="AF183" i="1"/>
  <c r="BR183" i="1" s="1"/>
  <c r="AF184" i="1"/>
  <c r="BR184" i="1" s="1"/>
  <c r="AF181" i="1"/>
  <c r="BR181" i="1" s="1"/>
  <c r="AF182" i="1"/>
  <c r="BR182" i="1" s="1"/>
  <c r="AF179" i="1"/>
  <c r="BR179" i="1" s="1"/>
  <c r="AF180" i="1"/>
  <c r="BR180" i="1" s="1"/>
  <c r="AF177" i="1"/>
  <c r="BR177" i="1" s="1"/>
  <c r="AF178" i="1"/>
  <c r="BR178" i="1" s="1"/>
  <c r="AF175" i="1"/>
  <c r="BR175" i="1" s="1"/>
  <c r="AF176" i="1"/>
  <c r="BR176" i="1" s="1"/>
  <c r="AF173" i="1"/>
  <c r="BR173" i="1" s="1"/>
  <c r="AF174" i="1"/>
  <c r="BR174" i="1" s="1"/>
  <c r="Z231" i="1"/>
  <c r="Z242" i="1"/>
  <c r="N338" i="5"/>
  <c r="N340" i="5"/>
  <c r="N337" i="5"/>
  <c r="N339" i="5"/>
  <c r="H22" i="1"/>
  <c r="F337" i="5"/>
  <c r="W337" i="5"/>
  <c r="C337" i="5"/>
  <c r="AB444" i="1"/>
  <c r="H425" i="1"/>
  <c r="H426" i="1" s="1"/>
  <c r="H427" i="1" s="1"/>
  <c r="Z220" i="1"/>
  <c r="Z209" i="1"/>
  <c r="W231" i="1"/>
  <c r="W242" i="1"/>
  <c r="W220" i="1"/>
  <c r="W209" i="1"/>
  <c r="DD174" i="1"/>
  <c r="DD173" i="1"/>
  <c r="B118" i="5"/>
  <c r="B119" i="5" s="1"/>
  <c r="BP171" i="1" l="1"/>
  <c r="BO171" i="1"/>
  <c r="BQ171" i="1"/>
  <c r="BP169" i="1"/>
  <c r="BO169" i="1"/>
  <c r="BQ169" i="1"/>
  <c r="BP185" i="1"/>
  <c r="BQ185" i="1"/>
  <c r="BO185" i="1"/>
  <c r="BO183" i="1"/>
  <c r="BQ183" i="1"/>
  <c r="BP183" i="1"/>
  <c r="BP181" i="1"/>
  <c r="BO181" i="1"/>
  <c r="BQ181" i="1"/>
  <c r="BP179" i="1"/>
  <c r="BO179" i="1"/>
  <c r="BQ179" i="1"/>
  <c r="BP177" i="1"/>
  <c r="BO177" i="1"/>
  <c r="BQ177" i="1"/>
  <c r="BP175" i="1"/>
  <c r="BO175" i="1"/>
  <c r="BQ175" i="1"/>
  <c r="BQ173" i="1"/>
  <c r="BO173" i="1"/>
  <c r="BP173" i="1"/>
  <c r="H23" i="1"/>
  <c r="H441" i="1"/>
  <c r="H433" i="1" s="1"/>
  <c r="B120" i="5"/>
  <c r="B121" i="5" s="1"/>
  <c r="H434" i="1" l="1"/>
  <c r="B122" i="5"/>
  <c r="B123" i="5" s="1"/>
  <c r="B124" i="5" s="1"/>
  <c r="B245" i="5"/>
  <c r="H435" i="1" l="1"/>
  <c r="B125" i="5"/>
  <c r="B247" i="5"/>
  <c r="CM185" i="1"/>
  <c r="CI185" i="1"/>
  <c r="CM183" i="1"/>
  <c r="CI183" i="1"/>
  <c r="CM181" i="1"/>
  <c r="CI181" i="1"/>
  <c r="CM179" i="1"/>
  <c r="CI179" i="1"/>
  <c r="CI177" i="1"/>
  <c r="CM177" i="1"/>
  <c r="H442" i="1" l="1"/>
  <c r="B249" i="5"/>
  <c r="B251" i="5" s="1"/>
  <c r="CM175" i="1"/>
  <c r="CT168" i="1"/>
  <c r="CQ249" i="1"/>
  <c r="CR249" i="1"/>
  <c r="CQ251" i="1"/>
  <c r="CR251" i="1"/>
  <c r="CQ253" i="1"/>
  <c r="CR253" i="1"/>
  <c r="CQ255" i="1"/>
  <c r="CR255" i="1"/>
  <c r="CR247" i="1"/>
  <c r="CQ247" i="1"/>
  <c r="CM255" i="1"/>
  <c r="CM253" i="1"/>
  <c r="CM251" i="1"/>
  <c r="CM249" i="1"/>
  <c r="CM247" i="1"/>
  <c r="CI255" i="1"/>
  <c r="CI253" i="1"/>
  <c r="CI251" i="1"/>
  <c r="CI249" i="1"/>
  <c r="CI247" i="1"/>
  <c r="CQ239" i="1"/>
  <c r="CR239" i="1"/>
  <c r="CQ241" i="1"/>
  <c r="CR241" i="1"/>
  <c r="CQ243" i="1"/>
  <c r="CR243" i="1"/>
  <c r="CQ245" i="1"/>
  <c r="CR245" i="1"/>
  <c r="CR237" i="1"/>
  <c r="CQ237" i="1"/>
  <c r="CR229" i="1"/>
  <c r="CR231" i="1"/>
  <c r="CR233" i="1"/>
  <c r="CR235" i="1"/>
  <c r="CR227" i="1"/>
  <c r="CQ229" i="1"/>
  <c r="CQ231" i="1"/>
  <c r="CQ233" i="1"/>
  <c r="CQ235" i="1"/>
  <c r="CQ227" i="1"/>
  <c r="CR219" i="1"/>
  <c r="CR221" i="1"/>
  <c r="CR223" i="1"/>
  <c r="CR225" i="1"/>
  <c r="CR217" i="1"/>
  <c r="CQ219" i="1"/>
  <c r="CQ221" i="1"/>
  <c r="CQ223" i="1"/>
  <c r="CQ225" i="1"/>
  <c r="CQ217" i="1"/>
  <c r="CR209" i="1"/>
  <c r="CR211" i="1"/>
  <c r="CR213" i="1"/>
  <c r="CR215" i="1"/>
  <c r="CR207" i="1"/>
  <c r="CQ209" i="1"/>
  <c r="CQ211" i="1"/>
  <c r="CQ213" i="1"/>
  <c r="CQ215" i="1"/>
  <c r="CQ207" i="1"/>
  <c r="CR199" i="1"/>
  <c r="CR201" i="1"/>
  <c r="CR203" i="1"/>
  <c r="CR205" i="1"/>
  <c r="CR197" i="1"/>
  <c r="CQ199" i="1"/>
  <c r="CQ201" i="1"/>
  <c r="CQ203" i="1"/>
  <c r="CQ205" i="1"/>
  <c r="CQ197" i="1"/>
  <c r="CR189" i="1"/>
  <c r="CR191" i="1"/>
  <c r="CR193" i="1"/>
  <c r="CR195" i="1"/>
  <c r="CR187" i="1"/>
  <c r="CQ189" i="1"/>
  <c r="CQ191" i="1"/>
  <c r="CQ193" i="1"/>
  <c r="CQ195" i="1"/>
  <c r="CQ187" i="1"/>
  <c r="CM245" i="1"/>
  <c r="CM243" i="1"/>
  <c r="CM241" i="1"/>
  <c r="CM239" i="1"/>
  <c r="CM237" i="1"/>
  <c r="CI245" i="1"/>
  <c r="CI243" i="1"/>
  <c r="CI241" i="1"/>
  <c r="CI239" i="1"/>
  <c r="CI237" i="1"/>
  <c r="CI235" i="1"/>
  <c r="CI233" i="1"/>
  <c r="CI231" i="1"/>
  <c r="CI229" i="1"/>
  <c r="CI227" i="1"/>
  <c r="CI225" i="1"/>
  <c r="CI223" i="1"/>
  <c r="CI221" i="1"/>
  <c r="CI219" i="1"/>
  <c r="CI217" i="1"/>
  <c r="CI215" i="1"/>
  <c r="CI213" i="1"/>
  <c r="CI211" i="1"/>
  <c r="CI209" i="1"/>
  <c r="CI207" i="1"/>
  <c r="CQ169" i="1"/>
  <c r="CR169" i="1"/>
  <c r="CQ171" i="1"/>
  <c r="CR171" i="1"/>
  <c r="CQ173" i="1"/>
  <c r="CR173" i="1"/>
  <c r="CQ175" i="1"/>
  <c r="CR175" i="1"/>
  <c r="CQ177" i="1"/>
  <c r="CR177" i="1"/>
  <c r="CQ179" i="1"/>
  <c r="CR179" i="1"/>
  <c r="CQ181" i="1"/>
  <c r="CR181" i="1"/>
  <c r="CQ183" i="1"/>
  <c r="CR183" i="1"/>
  <c r="CQ185" i="1"/>
  <c r="CR185" i="1"/>
  <c r="CR167" i="1"/>
  <c r="CQ167" i="1"/>
  <c r="CM205" i="1"/>
  <c r="CM203" i="1"/>
  <c r="CM201" i="1"/>
  <c r="CM199" i="1"/>
  <c r="CM197" i="1"/>
  <c r="CI205" i="1"/>
  <c r="CI203" i="1"/>
  <c r="CI201" i="1"/>
  <c r="CI199" i="1"/>
  <c r="CI197" i="1"/>
  <c r="CM195" i="1"/>
  <c r="CM193" i="1"/>
  <c r="CM191" i="1"/>
  <c r="CM189" i="1"/>
  <c r="CI189" i="1"/>
  <c r="CI191" i="1"/>
  <c r="CI193" i="1"/>
  <c r="CI195" i="1"/>
  <c r="BP267" i="1"/>
  <c r="BP265" i="1"/>
  <c r="BK263" i="1"/>
  <c r="BK261" i="1"/>
  <c r="BK259" i="1"/>
  <c r="BG257" i="1"/>
  <c r="BG259" i="1"/>
  <c r="BG261" i="1"/>
  <c r="BG263" i="1"/>
  <c r="BG255" i="1"/>
  <c r="BR254" i="1"/>
  <c r="BK251" i="1"/>
  <c r="BK249" i="1"/>
  <c r="BK247" i="1"/>
  <c r="BK245" i="1"/>
  <c r="BK243" i="1"/>
  <c r="BG245" i="1"/>
  <c r="BG247" i="1"/>
  <c r="BG249" i="1"/>
  <c r="BG251" i="1"/>
  <c r="BG243" i="1"/>
  <c r="BG234" i="1"/>
  <c r="BG236" i="1"/>
  <c r="BG238" i="1"/>
  <c r="BG240" i="1"/>
  <c r="BG232" i="1"/>
  <c r="BG223" i="1"/>
  <c r="BG225" i="1"/>
  <c r="BG227" i="1"/>
  <c r="BG229" i="1"/>
  <c r="BG221" i="1"/>
  <c r="BU249" i="1"/>
  <c r="BT249" i="1"/>
  <c r="BO249" i="1"/>
  <c r="BU247" i="1"/>
  <c r="BT247" i="1"/>
  <c r="BO247" i="1"/>
  <c r="BU245" i="1"/>
  <c r="BT245" i="1"/>
  <c r="BO245" i="1"/>
  <c r="BG212" i="1"/>
  <c r="BG214" i="1"/>
  <c r="BG216" i="1"/>
  <c r="BG218" i="1"/>
  <c r="BG210" i="1"/>
  <c r="BG201" i="1"/>
  <c r="BG203" i="1"/>
  <c r="BG205" i="1"/>
  <c r="BG207" i="1"/>
  <c r="BG199" i="1"/>
  <c r="BV168" i="1"/>
  <c r="BK196" i="1"/>
  <c r="BK194" i="1"/>
  <c r="BK192" i="1"/>
  <c r="BK190" i="1"/>
  <c r="BK183" i="1"/>
  <c r="BK181" i="1"/>
  <c r="BK179" i="1"/>
  <c r="BK177" i="1"/>
  <c r="BG190" i="1"/>
  <c r="BO190" i="1"/>
  <c r="BP190" i="1"/>
  <c r="BT190" i="1"/>
  <c r="BU190" i="1"/>
  <c r="BG192" i="1"/>
  <c r="BO192" i="1"/>
  <c r="BP192" i="1"/>
  <c r="BT192" i="1"/>
  <c r="BU192" i="1"/>
  <c r="BG194" i="1"/>
  <c r="BO194" i="1"/>
  <c r="BP194" i="1"/>
  <c r="BT194" i="1"/>
  <c r="BU194" i="1"/>
  <c r="BG196" i="1"/>
  <c r="BO196" i="1"/>
  <c r="BP196" i="1"/>
  <c r="BT196" i="1"/>
  <c r="BU196" i="1"/>
  <c r="AH261" i="1"/>
  <c r="BS261" i="1" s="1"/>
  <c r="AC263" i="1"/>
  <c r="AH263" i="1" s="1"/>
  <c r="AC261" i="1"/>
  <c r="AC259" i="1"/>
  <c r="AH259" i="1" s="1"/>
  <c r="BS259" i="1" s="1"/>
  <c r="AC257" i="1"/>
  <c r="AH257" i="1" s="1"/>
  <c r="BS257" i="1" s="1"/>
  <c r="AC255" i="1"/>
  <c r="AH255" i="1" s="1"/>
  <c r="I263" i="1"/>
  <c r="I261" i="1"/>
  <c r="I259" i="1"/>
  <c r="I257" i="1"/>
  <c r="I255" i="1"/>
  <c r="BU261" i="1"/>
  <c r="BT261" i="1"/>
  <c r="BP261" i="1"/>
  <c r="BO261" i="1"/>
  <c r="BU259" i="1"/>
  <c r="BT259" i="1"/>
  <c r="BP259" i="1"/>
  <c r="BO259" i="1"/>
  <c r="BU257" i="1"/>
  <c r="BT257" i="1"/>
  <c r="BP257" i="1"/>
  <c r="BO257" i="1"/>
  <c r="BK257" i="1"/>
  <c r="DB174" i="1"/>
  <c r="W254" i="1"/>
  <c r="DA174" i="1" s="1"/>
  <c r="W253" i="1"/>
  <c r="AH251" i="1"/>
  <c r="AC251" i="1"/>
  <c r="AH249" i="1"/>
  <c r="BS249" i="1" s="1"/>
  <c r="AC249" i="1"/>
  <c r="AC247" i="1"/>
  <c r="AH247" i="1" s="1"/>
  <c r="BS247" i="1" s="1"/>
  <c r="AC245" i="1"/>
  <c r="AH245" i="1" s="1"/>
  <c r="BS245" i="1" s="1"/>
  <c r="AC243" i="1"/>
  <c r="AH243" i="1" s="1"/>
  <c r="I251" i="1"/>
  <c r="I249" i="1"/>
  <c r="I247" i="1"/>
  <c r="I245" i="1"/>
  <c r="I243" i="1"/>
  <c r="AC240" i="1"/>
  <c r="AH240" i="1" s="1"/>
  <c r="AC238" i="1"/>
  <c r="AH238" i="1" s="1"/>
  <c r="AC236" i="1"/>
  <c r="AH236" i="1" s="1"/>
  <c r="AC234" i="1"/>
  <c r="AC232" i="1"/>
  <c r="AC229" i="1"/>
  <c r="AC227" i="1"/>
  <c r="AH227" i="1" s="1"/>
  <c r="AC225" i="1"/>
  <c r="AC223" i="1"/>
  <c r="AC218" i="1"/>
  <c r="AC216" i="1"/>
  <c r="AH216" i="1" s="1"/>
  <c r="AC214" i="1"/>
  <c r="AH214" i="1" s="1"/>
  <c r="AC212" i="1"/>
  <c r="AH212" i="1" s="1"/>
  <c r="AC210" i="1"/>
  <c r="AC207" i="1"/>
  <c r="AH207" i="1" s="1"/>
  <c r="AC205" i="1"/>
  <c r="AH205" i="1" s="1"/>
  <c r="AC203" i="1"/>
  <c r="AH203" i="1" s="1"/>
  <c r="AC201" i="1"/>
  <c r="AH201" i="1" s="1"/>
  <c r="AC192" i="1"/>
  <c r="AH192" i="1" s="1"/>
  <c r="AC194" i="1"/>
  <c r="AC196" i="1"/>
  <c r="AC190" i="1"/>
  <c r="BR190" i="1" s="1"/>
  <c r="AC242" i="1" l="1"/>
  <c r="BV169" i="1"/>
  <c r="BQ196" i="1"/>
  <c r="BQ194" i="1"/>
  <c r="BQ192" i="1"/>
  <c r="BQ190" i="1"/>
  <c r="AH196" i="1"/>
  <c r="BS196" i="1" s="1"/>
  <c r="BR194" i="1"/>
  <c r="AH194" i="1"/>
  <c r="BS194" i="1" s="1"/>
  <c r="AH210" i="1"/>
  <c r="AC220" i="1"/>
  <c r="AH232" i="1"/>
  <c r="AH223" i="1"/>
  <c r="Q36" i="1"/>
  <c r="DB173" i="1"/>
  <c r="L36" i="1"/>
  <c r="DA173" i="1"/>
  <c r="BP254" i="1"/>
  <c r="Q37" i="1"/>
  <c r="BO254" i="1"/>
  <c r="L37" i="1"/>
  <c r="B253" i="5"/>
  <c r="BQ259" i="1"/>
  <c r="BQ257" i="1"/>
  <c r="BS192" i="1"/>
  <c r="AC253" i="1"/>
  <c r="I253" i="1" s="1"/>
  <c r="BK253" i="1" s="1"/>
  <c r="BQ245" i="1"/>
  <c r="BQ249" i="1"/>
  <c r="BS190" i="1"/>
  <c r="BQ261" i="1"/>
  <c r="CT169" i="1"/>
  <c r="CT170" i="1" s="1"/>
  <c r="CT171" i="1" s="1"/>
  <c r="BQ247" i="1"/>
  <c r="AC254" i="1"/>
  <c r="I254" i="1" s="1"/>
  <c r="BK254" i="1" s="1"/>
  <c r="BR196" i="1"/>
  <c r="AH234" i="1"/>
  <c r="AH218" i="1"/>
  <c r="AH229" i="1"/>
  <c r="AH225" i="1"/>
  <c r="BS179" i="1"/>
  <c r="BS177" i="1"/>
  <c r="BU183" i="1"/>
  <c r="BT183" i="1"/>
  <c r="BS183" i="1"/>
  <c r="BU181" i="1"/>
  <c r="BT181" i="1"/>
  <c r="BS181" i="1"/>
  <c r="BU179" i="1"/>
  <c r="BT179" i="1"/>
  <c r="BU177" i="1"/>
  <c r="BT177" i="1"/>
  <c r="CI175" i="1"/>
  <c r="BU175" i="1"/>
  <c r="BT175" i="1"/>
  <c r="BS175" i="1"/>
  <c r="C112" i="5"/>
  <c r="U101" i="5"/>
  <c r="BV170" i="1" l="1"/>
  <c r="BV171" i="1" s="1"/>
  <c r="BV172" i="1" s="1"/>
  <c r="BQ254" i="1"/>
  <c r="H443" i="1"/>
  <c r="BR192" i="1"/>
  <c r="W198" i="1"/>
  <c r="Z198" i="1"/>
  <c r="DC174" i="1"/>
  <c r="DC173" i="1"/>
  <c r="V37" i="1"/>
  <c r="B255" i="5"/>
  <c r="B257" i="5" s="1"/>
  <c r="B259" i="5" s="1"/>
  <c r="BV173" i="1"/>
  <c r="BV174" i="1" s="1"/>
  <c r="CT172" i="1"/>
  <c r="CT173" i="1" s="1"/>
  <c r="AH254" i="1"/>
  <c r="DE174" i="1" s="1"/>
  <c r="H444" i="1" l="1"/>
  <c r="N341" i="5" s="1"/>
  <c r="BS254" i="1"/>
  <c r="AA37" i="1"/>
  <c r="B261" i="5"/>
  <c r="CT174" i="1"/>
  <c r="CT175" i="1" s="1"/>
  <c r="BV175" i="1"/>
  <c r="N343" i="5" l="1"/>
  <c r="N342" i="5"/>
  <c r="N366" i="5"/>
  <c r="F375" i="5"/>
  <c r="I375" i="5"/>
  <c r="N375" i="5"/>
  <c r="W375" i="5"/>
  <c r="C375" i="5"/>
  <c r="N367" i="5"/>
  <c r="N354" i="5"/>
  <c r="N355" i="5"/>
  <c r="N365" i="5"/>
  <c r="N359" i="5"/>
  <c r="N350" i="5"/>
  <c r="N349" i="5"/>
  <c r="N356" i="5"/>
  <c r="N344" i="5"/>
  <c r="N351" i="5"/>
  <c r="N346" i="5"/>
  <c r="N360" i="5"/>
  <c r="N361" i="5"/>
  <c r="N358" i="5"/>
  <c r="N364" i="5"/>
  <c r="N363" i="5"/>
  <c r="N353" i="5"/>
  <c r="N362" i="5"/>
  <c r="N345" i="5"/>
  <c r="N348" i="5"/>
  <c r="N347" i="5"/>
  <c r="N352" i="5"/>
  <c r="N368" i="5"/>
  <c r="N357" i="5"/>
  <c r="W341" i="5"/>
  <c r="N380" i="5"/>
  <c r="N373" i="5"/>
  <c r="N383" i="5"/>
  <c r="N386" i="5"/>
  <c r="N391" i="5"/>
  <c r="N389" i="5"/>
  <c r="N376" i="5"/>
  <c r="N377" i="5"/>
  <c r="N369" i="5"/>
  <c r="N382" i="5"/>
  <c r="N385" i="5"/>
  <c r="N387" i="5"/>
  <c r="N370" i="5"/>
  <c r="N398" i="5"/>
  <c r="N379" i="5"/>
  <c r="N397" i="5"/>
  <c r="N374" i="5"/>
  <c r="N394" i="5"/>
  <c r="N384" i="5"/>
  <c r="N400" i="5"/>
  <c r="N390" i="5"/>
  <c r="N395" i="5"/>
  <c r="N371" i="5"/>
  <c r="N388" i="5"/>
  <c r="N392" i="5"/>
  <c r="N396" i="5"/>
  <c r="N381" i="5"/>
  <c r="N393" i="5"/>
  <c r="N372" i="5"/>
  <c r="N404" i="5"/>
  <c r="N378" i="5"/>
  <c r="N401" i="5"/>
  <c r="N403" i="5"/>
  <c r="N402" i="5"/>
  <c r="N399" i="5"/>
  <c r="N405" i="5"/>
  <c r="N406" i="5"/>
  <c r="N411" i="5"/>
  <c r="N409" i="5"/>
  <c r="N410" i="5"/>
  <c r="N418" i="5"/>
  <c r="N415" i="5"/>
  <c r="N414" i="5"/>
  <c r="N413" i="5"/>
  <c r="N407" i="5"/>
  <c r="N419" i="5"/>
  <c r="N412" i="5"/>
  <c r="N416" i="5"/>
  <c r="N417" i="5"/>
  <c r="N408" i="5"/>
  <c r="N420" i="5"/>
  <c r="C341" i="5"/>
  <c r="F341" i="5"/>
  <c r="W357" i="5"/>
  <c r="C346" i="5"/>
  <c r="F348" i="5"/>
  <c r="W342" i="5"/>
  <c r="C348" i="5"/>
  <c r="C342" i="5"/>
  <c r="F342" i="5"/>
  <c r="W348" i="5"/>
  <c r="F354" i="5"/>
  <c r="C350" i="5"/>
  <c r="W351" i="5"/>
  <c r="C354" i="5"/>
  <c r="F352" i="5"/>
  <c r="W353" i="5"/>
  <c r="W346" i="5"/>
  <c r="C351" i="5"/>
  <c r="F353" i="5"/>
  <c r="F350" i="5"/>
  <c r="W354" i="5"/>
  <c r="W352" i="5"/>
  <c r="F346" i="5"/>
  <c r="C352" i="5"/>
  <c r="W350" i="5"/>
  <c r="C353" i="5"/>
  <c r="F351" i="5"/>
  <c r="W355" i="5"/>
  <c r="W356" i="5"/>
  <c r="C355" i="5"/>
  <c r="F357" i="5"/>
  <c r="C357" i="5"/>
  <c r="F340" i="5"/>
  <c r="F356" i="5"/>
  <c r="C356" i="5"/>
  <c r="F355" i="5"/>
  <c r="I410" i="5"/>
  <c r="C412" i="5"/>
  <c r="F419" i="5"/>
  <c r="C410" i="5"/>
  <c r="F410" i="5"/>
  <c r="C361" i="5"/>
  <c r="I403" i="5"/>
  <c r="F379" i="5"/>
  <c r="F408" i="5"/>
  <c r="C370" i="5"/>
  <c r="W338" i="5"/>
  <c r="W408" i="5"/>
  <c r="I416" i="5"/>
  <c r="C406" i="5"/>
  <c r="C397" i="5"/>
  <c r="W378" i="5"/>
  <c r="F414" i="5"/>
  <c r="W385" i="5"/>
  <c r="F417" i="5"/>
  <c r="W396" i="5"/>
  <c r="C372" i="5"/>
  <c r="W349" i="5"/>
  <c r="C340" i="5"/>
  <c r="C339" i="5"/>
  <c r="F339" i="5"/>
  <c r="W343" i="5"/>
  <c r="F338" i="5"/>
  <c r="W344" i="5"/>
  <c r="C395" i="5"/>
  <c r="F387" i="5"/>
  <c r="W417" i="5"/>
  <c r="C385" i="5"/>
  <c r="C365" i="5"/>
  <c r="C358" i="5"/>
  <c r="W415" i="5"/>
  <c r="W397" i="5"/>
  <c r="F395" i="5"/>
  <c r="W390" i="5"/>
  <c r="C419" i="5"/>
  <c r="I406" i="5"/>
  <c r="W400" i="5"/>
  <c r="F381" i="5"/>
  <c r="C399" i="5"/>
  <c r="F397" i="5"/>
  <c r="C411" i="5"/>
  <c r="C374" i="5"/>
  <c r="F349" i="5"/>
  <c r="W340" i="5"/>
  <c r="W347" i="5"/>
  <c r="W339" i="5"/>
  <c r="W345" i="5"/>
  <c r="C387" i="5"/>
  <c r="C338" i="5"/>
  <c r="C343" i="5"/>
  <c r="F344" i="5"/>
  <c r="W371" i="5"/>
  <c r="C408" i="5"/>
  <c r="C392" i="5"/>
  <c r="I419" i="5"/>
  <c r="W368" i="5"/>
  <c r="C405" i="5"/>
  <c r="F386" i="5"/>
  <c r="F406" i="5"/>
  <c r="F385" i="5"/>
  <c r="F403" i="5"/>
  <c r="W383" i="5"/>
  <c r="W411" i="5"/>
  <c r="W382" i="5"/>
  <c r="W379" i="5"/>
  <c r="F399" i="5"/>
  <c r="C379" i="5"/>
  <c r="F388" i="5"/>
  <c r="F372" i="5"/>
  <c r="C409" i="5"/>
  <c r="F360" i="5"/>
  <c r="C347" i="5"/>
  <c r="F343" i="5"/>
  <c r="F345" i="5"/>
  <c r="C344" i="5"/>
  <c r="F347" i="5"/>
  <c r="C345" i="5"/>
  <c r="C349" i="5"/>
  <c r="C376" i="5"/>
  <c r="W363" i="5"/>
  <c r="W387" i="5"/>
  <c r="W418" i="5"/>
  <c r="F393" i="5"/>
  <c r="I420" i="5"/>
  <c r="F382" i="5"/>
  <c r="C373" i="5"/>
  <c r="W409" i="5"/>
  <c r="W358" i="5"/>
  <c r="W413" i="5"/>
  <c r="F420" i="5"/>
  <c r="W370" i="5"/>
  <c r="W377" i="5"/>
  <c r="F415" i="5"/>
  <c r="W416" i="5"/>
  <c r="W369" i="5"/>
  <c r="W407" i="5"/>
  <c r="F364" i="5"/>
  <c r="W365" i="5"/>
  <c r="F384" i="5"/>
  <c r="F396" i="5"/>
  <c r="W361" i="5"/>
  <c r="C378" i="5"/>
  <c r="F412" i="5"/>
  <c r="C394" i="5"/>
  <c r="C381" i="5"/>
  <c r="F398" i="5"/>
  <c r="C368" i="5"/>
  <c r="I415" i="5"/>
  <c r="C389" i="5"/>
  <c r="C402" i="5"/>
  <c r="C393" i="5"/>
  <c r="C377" i="5"/>
  <c r="C360" i="5"/>
  <c r="C418" i="5"/>
  <c r="W393" i="5"/>
  <c r="F368" i="5"/>
  <c r="C415" i="5"/>
  <c r="W372" i="5"/>
  <c r="I404" i="5"/>
  <c r="F390" i="5"/>
  <c r="C413" i="5"/>
  <c r="F416" i="5"/>
  <c r="AG362" i="1"/>
  <c r="W398" i="5"/>
  <c r="F413" i="5"/>
  <c r="C366" i="5"/>
  <c r="C420" i="5"/>
  <c r="W376" i="5"/>
  <c r="I412" i="5"/>
  <c r="C404" i="5"/>
  <c r="I402" i="5"/>
  <c r="W373" i="5"/>
  <c r="F392" i="5"/>
  <c r="F401" i="5"/>
  <c r="I411" i="5"/>
  <c r="W389" i="5"/>
  <c r="C396" i="5"/>
  <c r="F391" i="5"/>
  <c r="W392" i="5"/>
  <c r="C383" i="5"/>
  <c r="W404" i="5"/>
  <c r="W367" i="5"/>
  <c r="W414" i="5"/>
  <c r="W381" i="5"/>
  <c r="C363" i="5"/>
  <c r="C382" i="5"/>
  <c r="F365" i="5"/>
  <c r="C414" i="5"/>
  <c r="C400" i="5"/>
  <c r="F362" i="5"/>
  <c r="W420" i="5"/>
  <c r="W366" i="5"/>
  <c r="W403" i="5"/>
  <c r="C416" i="5"/>
  <c r="C388" i="5"/>
  <c r="F374" i="5"/>
  <c r="C403" i="5"/>
  <c r="F404" i="5"/>
  <c r="C362" i="5"/>
  <c r="F369" i="5"/>
  <c r="W405" i="5"/>
  <c r="C390" i="5"/>
  <c r="I414" i="5"/>
  <c r="C386" i="5"/>
  <c r="W364" i="5"/>
  <c r="W360" i="5"/>
  <c r="F380" i="5"/>
  <c r="I401" i="5"/>
  <c r="C367" i="5"/>
  <c r="F363" i="5"/>
  <c r="F359" i="5"/>
  <c r="F376" i="5"/>
  <c r="I409" i="5"/>
  <c r="W399" i="5"/>
  <c r="W419" i="5"/>
  <c r="W380" i="5"/>
  <c r="F402" i="5"/>
  <c r="W362" i="5"/>
  <c r="F361" i="5"/>
  <c r="C359" i="5"/>
  <c r="C371" i="5"/>
  <c r="C401" i="5"/>
  <c r="F377" i="5"/>
  <c r="W394" i="5"/>
  <c r="W391" i="5"/>
  <c r="F394" i="5"/>
  <c r="C369" i="5"/>
  <c r="F373" i="5"/>
  <c r="I400" i="5"/>
  <c r="C407" i="5"/>
  <c r="F418" i="5"/>
  <c r="F366" i="5"/>
  <c r="F407" i="5"/>
  <c r="W359" i="5"/>
  <c r="W386" i="5"/>
  <c r="F378" i="5"/>
  <c r="F389" i="5"/>
  <c r="I418" i="5"/>
  <c r="F400" i="5"/>
  <c r="F409" i="5"/>
  <c r="W388" i="5"/>
  <c r="C384" i="5"/>
  <c r="F371" i="5"/>
  <c r="F383" i="5"/>
  <c r="C364" i="5"/>
  <c r="C417" i="5"/>
  <c r="I413" i="5"/>
  <c r="I408" i="5"/>
  <c r="W374" i="5"/>
  <c r="I407" i="5"/>
  <c r="C398" i="5"/>
  <c r="F405" i="5"/>
  <c r="W410" i="5"/>
  <c r="F367" i="5"/>
  <c r="W402" i="5"/>
  <c r="F358" i="5"/>
  <c r="I417" i="5"/>
  <c r="I405" i="5"/>
  <c r="W406" i="5"/>
  <c r="F411" i="5"/>
  <c r="W395" i="5"/>
  <c r="C391" i="5"/>
  <c r="C380" i="5"/>
  <c r="W401" i="5"/>
  <c r="W412" i="5"/>
  <c r="F370" i="5"/>
  <c r="W384" i="5"/>
  <c r="B263" i="5"/>
  <c r="B265" i="5" s="1"/>
  <c r="B267" i="5" s="1"/>
  <c r="B269" i="5" s="1"/>
  <c r="CT176" i="1"/>
  <c r="CT177" i="1" s="1"/>
  <c r="BV176" i="1"/>
  <c r="B271" i="5" l="1"/>
  <c r="B273" i="5" s="1"/>
  <c r="CT178" i="1"/>
  <c r="BV177" i="1"/>
  <c r="B275" i="5" l="1"/>
  <c r="B277" i="5" s="1"/>
  <c r="BV178" i="1"/>
  <c r="CT179" i="1"/>
  <c r="B279" i="5" l="1"/>
  <c r="B281" i="5" s="1"/>
  <c r="B283" i="5" s="1"/>
  <c r="B285" i="5" s="1"/>
  <c r="BV179" i="1"/>
  <c r="CT180" i="1"/>
  <c r="BF167" i="1"/>
  <c r="CF169" i="1"/>
  <c r="CH167" i="1"/>
  <c r="B287" i="5" l="1"/>
  <c r="B289" i="5" s="1"/>
  <c r="B291" i="5" s="1"/>
  <c r="B293" i="5" s="1"/>
  <c r="B295" i="5" s="1"/>
  <c r="BF169" i="1"/>
  <c r="CH169" i="1"/>
  <c r="BV180" i="1"/>
  <c r="BV181" i="1" s="1"/>
  <c r="CT181" i="1"/>
  <c r="CT182" i="1" s="1"/>
  <c r="CT183" i="1" s="1"/>
  <c r="CT184" i="1" s="1"/>
  <c r="CT185" i="1" s="1"/>
  <c r="CT186" i="1" s="1"/>
  <c r="CF171" i="1"/>
  <c r="U132" i="1"/>
  <c r="U131" i="1"/>
  <c r="BF171" i="1" l="1"/>
  <c r="B297" i="5"/>
  <c r="B299" i="5" s="1"/>
  <c r="B301" i="5" s="1"/>
  <c r="BV182" i="1"/>
  <c r="BV183" i="1" s="1"/>
  <c r="BV184" i="1" s="1"/>
  <c r="BV185" i="1" s="1"/>
  <c r="BV186" i="1" s="1"/>
  <c r="BV187" i="1" s="1"/>
  <c r="CH171" i="1"/>
  <c r="CF173" i="1"/>
  <c r="CF175" i="1" s="1"/>
  <c r="CF177" i="1" s="1"/>
  <c r="BK255" i="1"/>
  <c r="BU263" i="1"/>
  <c r="BT263" i="1"/>
  <c r="BP263" i="1"/>
  <c r="BO263" i="1"/>
  <c r="BU255" i="1"/>
  <c r="BT255" i="1"/>
  <c r="BP255" i="1"/>
  <c r="BO255" i="1"/>
  <c r="BF173" i="1" l="1"/>
  <c r="BF175" i="1" s="1"/>
  <c r="BV188" i="1"/>
  <c r="CH173" i="1"/>
  <c r="BQ255" i="1"/>
  <c r="CF179" i="1"/>
  <c r="CF185" i="1"/>
  <c r="BQ263" i="1"/>
  <c r="BS263" i="1"/>
  <c r="BS255" i="1"/>
  <c r="BF177" i="1" l="1"/>
  <c r="BV189" i="1"/>
  <c r="BV190" i="1" s="1"/>
  <c r="BF179" i="1"/>
  <c r="CH175" i="1"/>
  <c r="CF181" i="1"/>
  <c r="CF183" i="1" s="1"/>
  <c r="CF187" i="1" s="1"/>
  <c r="CF189" i="1" s="1"/>
  <c r="CF199" i="1" s="1"/>
  <c r="BF181" i="1" l="1"/>
  <c r="BV191" i="1"/>
  <c r="BV192" i="1" s="1"/>
  <c r="CH177" i="1"/>
  <c r="CH179" i="1" s="1"/>
  <c r="CH181" i="1" s="1"/>
  <c r="CH183" i="1" s="1"/>
  <c r="CF201" i="1"/>
  <c r="C332" i="5"/>
  <c r="BG267" i="1"/>
  <c r="BG265" i="1"/>
  <c r="BR267" i="1"/>
  <c r="BO267" i="1"/>
  <c r="AC267" i="1"/>
  <c r="AH267" i="1" s="1"/>
  <c r="BS267" i="1" s="1"/>
  <c r="BR265" i="1"/>
  <c r="BO265" i="1"/>
  <c r="AC265" i="1"/>
  <c r="AH265" i="1" s="1"/>
  <c r="BS265" i="1" s="1"/>
  <c r="CH185" i="1" l="1"/>
  <c r="BF183" i="1"/>
  <c r="CH187" i="1"/>
  <c r="CH189" i="1" s="1"/>
  <c r="CH191" i="1" s="1"/>
  <c r="BV193" i="1"/>
  <c r="BV194" i="1" s="1"/>
  <c r="BV195" i="1" s="1"/>
  <c r="BV196" i="1" s="1"/>
  <c r="CF203" i="1"/>
  <c r="CF205" i="1" s="1"/>
  <c r="BQ265" i="1"/>
  <c r="BQ267" i="1"/>
  <c r="X356" i="1"/>
  <c r="S331" i="5" s="1"/>
  <c r="O356" i="1"/>
  <c r="J331" i="5" s="1"/>
  <c r="BP253" i="1"/>
  <c r="BO253" i="1"/>
  <c r="BU251" i="1"/>
  <c r="BU243" i="1"/>
  <c r="BU240" i="1"/>
  <c r="BU238" i="1"/>
  <c r="BU236" i="1"/>
  <c r="BU234" i="1"/>
  <c r="BU232" i="1"/>
  <c r="BU229" i="1"/>
  <c r="BU227" i="1"/>
  <c r="BU225" i="1"/>
  <c r="BU223" i="1"/>
  <c r="BU221" i="1"/>
  <c r="BU218" i="1"/>
  <c r="BU216" i="1"/>
  <c r="BU214" i="1"/>
  <c r="BU212" i="1"/>
  <c r="BU210" i="1"/>
  <c r="BU207" i="1"/>
  <c r="BU205" i="1"/>
  <c r="BU203" i="1"/>
  <c r="BU201" i="1"/>
  <c r="BU199" i="1"/>
  <c r="BU188" i="1"/>
  <c r="BT251" i="1"/>
  <c r="BT243" i="1"/>
  <c r="BT240" i="1"/>
  <c r="BT238" i="1"/>
  <c r="BT236" i="1"/>
  <c r="BT234" i="1"/>
  <c r="BT232" i="1"/>
  <c r="BT229" i="1"/>
  <c r="BT227" i="1"/>
  <c r="BT225" i="1"/>
  <c r="BT223" i="1"/>
  <c r="BT221" i="1"/>
  <c r="BT218" i="1"/>
  <c r="BT216" i="1"/>
  <c r="BT214" i="1"/>
  <c r="BT212" i="1"/>
  <c r="BT210" i="1"/>
  <c r="BT207" i="1"/>
  <c r="BT205" i="1"/>
  <c r="BT203" i="1"/>
  <c r="BT201" i="1"/>
  <c r="BT199" i="1"/>
  <c r="BT188" i="1"/>
  <c r="BU169" i="1"/>
  <c r="BU171" i="1"/>
  <c r="BU173" i="1"/>
  <c r="BU185" i="1"/>
  <c r="BT169" i="1"/>
  <c r="BT171" i="1"/>
  <c r="BT173" i="1"/>
  <c r="BT185" i="1"/>
  <c r="BU167" i="1"/>
  <c r="BT167" i="1"/>
  <c r="BR253" i="1"/>
  <c r="CM235" i="1"/>
  <c r="CM233" i="1"/>
  <c r="CM231" i="1"/>
  <c r="CM229" i="1"/>
  <c r="CM227" i="1"/>
  <c r="CM225" i="1"/>
  <c r="CM223" i="1"/>
  <c r="CM221" i="1"/>
  <c r="CM219" i="1"/>
  <c r="CM217" i="1"/>
  <c r="CM215" i="1"/>
  <c r="CM213" i="1"/>
  <c r="CM211" i="1"/>
  <c r="CM209" i="1"/>
  <c r="CM207" i="1"/>
  <c r="CM187" i="1"/>
  <c r="CI187" i="1"/>
  <c r="CI167" i="1"/>
  <c r="CM167" i="1"/>
  <c r="CI169" i="1"/>
  <c r="CM169" i="1"/>
  <c r="CI171" i="1"/>
  <c r="CM171" i="1"/>
  <c r="CI173" i="1"/>
  <c r="CM173" i="1"/>
  <c r="H167" i="1"/>
  <c r="CH193" i="1" l="1"/>
  <c r="CH195" i="1" s="1"/>
  <c r="BF185" i="1"/>
  <c r="CH197" i="1"/>
  <c r="BQ253" i="1"/>
  <c r="CH199" i="1"/>
  <c r="BP242" i="1"/>
  <c r="DB172" i="1"/>
  <c r="BO242" i="1"/>
  <c r="DA172" i="1"/>
  <c r="BO231" i="1"/>
  <c r="DA171" i="1"/>
  <c r="BP231" i="1"/>
  <c r="DB171" i="1"/>
  <c r="H169" i="1"/>
  <c r="CF207" i="1"/>
  <c r="L34" i="1"/>
  <c r="Q35" i="1"/>
  <c r="Q34" i="1"/>
  <c r="L35" i="1"/>
  <c r="BO201" i="1"/>
  <c r="BP201" i="1"/>
  <c r="BO203" i="1"/>
  <c r="BP203" i="1"/>
  <c r="BO205" i="1"/>
  <c r="BP205" i="1"/>
  <c r="BO207" i="1"/>
  <c r="BP207" i="1"/>
  <c r="DB170" i="1"/>
  <c r="DA170" i="1"/>
  <c r="DB169" i="1"/>
  <c r="DA169" i="1"/>
  <c r="DB168" i="1"/>
  <c r="DA168" i="1"/>
  <c r="BS240" i="1"/>
  <c r="BS238" i="1"/>
  <c r="BS236" i="1"/>
  <c r="BS234" i="1"/>
  <c r="BS251" i="1"/>
  <c r="BS232" i="1"/>
  <c r="BS229" i="1"/>
  <c r="BS227" i="1"/>
  <c r="BS225" i="1"/>
  <c r="BS223" i="1"/>
  <c r="AC221" i="1"/>
  <c r="BS218" i="1"/>
  <c r="BS216" i="1"/>
  <c r="BS214" i="1"/>
  <c r="BS212" i="1"/>
  <c r="BS210" i="1"/>
  <c r="BS207" i="1"/>
  <c r="BS205" i="1"/>
  <c r="BS203" i="1"/>
  <c r="BS201" i="1"/>
  <c r="AC199" i="1"/>
  <c r="AC188" i="1"/>
  <c r="BS185" i="1"/>
  <c r="BS173" i="1"/>
  <c r="BS171" i="1"/>
  <c r="BS169" i="1"/>
  <c r="AC167" i="1"/>
  <c r="CH201" i="1" l="1"/>
  <c r="CH203" i="1" s="1"/>
  <c r="CH205" i="1" s="1"/>
  <c r="BQ242" i="1"/>
  <c r="BQ231" i="1"/>
  <c r="AC198" i="1"/>
  <c r="AH188" i="1"/>
  <c r="BS188" i="1" s="1"/>
  <c r="AH199" i="1"/>
  <c r="BS199" i="1" s="1"/>
  <c r="AC209" i="1"/>
  <c r="DC169" i="1" s="1"/>
  <c r="AH167" i="1"/>
  <c r="BS167" i="1" s="1"/>
  <c r="AC187" i="1"/>
  <c r="AH221" i="1"/>
  <c r="BS221" i="1" s="1"/>
  <c r="AC231" i="1"/>
  <c r="H171" i="1"/>
  <c r="CF209" i="1"/>
  <c r="CF211" i="1" s="1"/>
  <c r="BQ207" i="1"/>
  <c r="BQ203" i="1"/>
  <c r="BQ205" i="1"/>
  <c r="BQ201" i="1"/>
  <c r="BP209" i="1"/>
  <c r="Q32" i="1"/>
  <c r="BO198" i="1"/>
  <c r="L31" i="1"/>
  <c r="BO220" i="1"/>
  <c r="L33" i="1"/>
  <c r="BP198" i="1"/>
  <c r="Q31" i="1"/>
  <c r="BP220" i="1"/>
  <c r="Q33" i="1"/>
  <c r="BS243" i="1"/>
  <c r="BO209" i="1"/>
  <c r="L32" i="1"/>
  <c r="DC170" i="1"/>
  <c r="BR232" i="1"/>
  <c r="BR234" i="1"/>
  <c r="BR236" i="1"/>
  <c r="BR238" i="1"/>
  <c r="BR240" i="1"/>
  <c r="BR212" i="1"/>
  <c r="BR214" i="1"/>
  <c r="BR216" i="1"/>
  <c r="BR218" i="1"/>
  <c r="BR221" i="1"/>
  <c r="BR223" i="1"/>
  <c r="BR225" i="1"/>
  <c r="BR227" i="1"/>
  <c r="BR229" i="1"/>
  <c r="BR210" i="1"/>
  <c r="BR201" i="1"/>
  <c r="BR203" i="1"/>
  <c r="BR205" i="1"/>
  <c r="BR207" i="1"/>
  <c r="BR199" i="1"/>
  <c r="BR188" i="1"/>
  <c r="BP243" i="1"/>
  <c r="BP232" i="1"/>
  <c r="BP199" i="1"/>
  <c r="BP188" i="1"/>
  <c r="BO251" i="1"/>
  <c r="BO243" i="1"/>
  <c r="BO240" i="1"/>
  <c r="BO238" i="1"/>
  <c r="BO236" i="1"/>
  <c r="BO234" i="1"/>
  <c r="BO232" i="1"/>
  <c r="BO229" i="1"/>
  <c r="BO227" i="1"/>
  <c r="BO225" i="1"/>
  <c r="BO223" i="1"/>
  <c r="BO221" i="1"/>
  <c r="BO218" i="1"/>
  <c r="BO216" i="1"/>
  <c r="BO214" i="1"/>
  <c r="BO212" i="1"/>
  <c r="BO210" i="1"/>
  <c r="BO199" i="1"/>
  <c r="BO188" i="1"/>
  <c r="BG169" i="1"/>
  <c r="CH207" i="1" l="1"/>
  <c r="CH209" i="1" s="1"/>
  <c r="CH211" i="1" s="1"/>
  <c r="CH213" i="1" s="1"/>
  <c r="CH215" i="1" s="1"/>
  <c r="DC168" i="1"/>
  <c r="AH198" i="1"/>
  <c r="DE168" i="1" s="1"/>
  <c r="V30" i="1"/>
  <c r="BQ188" i="1"/>
  <c r="BQ198" i="1"/>
  <c r="BQ220" i="1"/>
  <c r="BQ209" i="1"/>
  <c r="H173" i="1"/>
  <c r="V34" i="1"/>
  <c r="DC171" i="1"/>
  <c r="AH242" i="1"/>
  <c r="DC172" i="1"/>
  <c r="BQ223" i="1"/>
  <c r="BQ212" i="1"/>
  <c r="BQ225" i="1"/>
  <c r="CF213" i="1"/>
  <c r="BQ210" i="1"/>
  <c r="BQ221" i="1"/>
  <c r="BQ229" i="1"/>
  <c r="BQ238" i="1"/>
  <c r="BR167" i="1"/>
  <c r="BQ216" i="1"/>
  <c r="BQ243" i="1"/>
  <c r="V32" i="1"/>
  <c r="AH253" i="1"/>
  <c r="DE173" i="1" s="1"/>
  <c r="V36" i="1"/>
  <c r="BQ214" i="1"/>
  <c r="BQ232" i="1"/>
  <c r="BQ240" i="1"/>
  <c r="V33" i="1"/>
  <c r="V31" i="1"/>
  <c r="V35" i="1"/>
  <c r="BQ199" i="1"/>
  <c r="BQ234" i="1"/>
  <c r="BQ218" i="1"/>
  <c r="BQ227" i="1"/>
  <c r="BQ236" i="1"/>
  <c r="BQ251" i="1"/>
  <c r="AH231" i="1"/>
  <c r="DE171" i="1" s="1"/>
  <c r="AH220" i="1"/>
  <c r="DE170" i="1" s="1"/>
  <c r="AH209" i="1"/>
  <c r="DE169" i="1" s="1"/>
  <c r="CH217" i="1" l="1"/>
  <c r="BO167" i="1"/>
  <c r="BP167" i="1"/>
  <c r="BQ167" i="1"/>
  <c r="H175" i="1"/>
  <c r="H177" i="1" s="1"/>
  <c r="H179" i="1" s="1"/>
  <c r="BR209" i="1"/>
  <c r="DD169" i="1"/>
  <c r="BR220" i="1"/>
  <c r="DD170" i="1"/>
  <c r="AA35" i="1"/>
  <c r="DE172" i="1"/>
  <c r="BR242" i="1"/>
  <c r="DD172" i="1"/>
  <c r="BR198" i="1"/>
  <c r="DD168" i="1"/>
  <c r="BR231" i="1"/>
  <c r="DD171" i="1"/>
  <c r="BS242" i="1"/>
  <c r="CF215" i="1"/>
  <c r="CF217" i="1" s="1"/>
  <c r="BS198" i="1"/>
  <c r="AA31" i="1"/>
  <c r="BS231" i="1"/>
  <c r="AA34" i="1"/>
  <c r="BS253" i="1"/>
  <c r="AA36" i="1"/>
  <c r="BS209" i="1"/>
  <c r="AA32" i="1"/>
  <c r="BS220" i="1"/>
  <c r="AA33" i="1"/>
  <c r="BK240" i="1"/>
  <c r="BK238" i="1"/>
  <c r="BK236" i="1"/>
  <c r="BK234" i="1"/>
  <c r="BK232" i="1"/>
  <c r="BK229" i="1"/>
  <c r="BK227" i="1"/>
  <c r="BK225" i="1"/>
  <c r="BK223" i="1"/>
  <c r="BK221" i="1"/>
  <c r="BK218" i="1"/>
  <c r="BK216" i="1"/>
  <c r="BK214" i="1"/>
  <c r="BK212" i="1"/>
  <c r="BK210" i="1"/>
  <c r="BK207" i="1"/>
  <c r="BK205" i="1"/>
  <c r="BK203" i="1"/>
  <c r="BK201" i="1"/>
  <c r="BK199" i="1"/>
  <c r="BK188" i="1"/>
  <c r="BK173" i="1"/>
  <c r="BK171" i="1"/>
  <c r="BK169" i="1"/>
  <c r="BK167" i="1"/>
  <c r="BG188" i="1"/>
  <c r="BG173" i="1"/>
  <c r="BG171" i="1"/>
  <c r="BG167" i="1"/>
  <c r="CH219" i="1" l="1"/>
  <c r="H181" i="1"/>
  <c r="H183" i="1" s="1"/>
  <c r="CF219" i="1"/>
  <c r="U102" i="5"/>
  <c r="U100" i="5"/>
  <c r="U99" i="5"/>
  <c r="N102" i="5"/>
  <c r="N101" i="5"/>
  <c r="N100" i="5"/>
  <c r="N99" i="5"/>
  <c r="H283" i="1"/>
  <c r="C237" i="5"/>
  <c r="T186" i="5"/>
  <c r="T185" i="5"/>
  <c r="T184" i="5"/>
  <c r="T183" i="5"/>
  <c r="T182" i="5"/>
  <c r="T180" i="5"/>
  <c r="T179" i="5"/>
  <c r="T178" i="5"/>
  <c r="T177" i="5"/>
  <c r="T175" i="5"/>
  <c r="T174" i="5"/>
  <c r="T172" i="5"/>
  <c r="T171" i="5"/>
  <c r="T170" i="5"/>
  <c r="H156" i="1"/>
  <c r="W132" i="1" s="1"/>
  <c r="Z132" i="1" s="1"/>
  <c r="H151" i="1"/>
  <c r="H148" i="1"/>
  <c r="N186" i="5"/>
  <c r="N185" i="5"/>
  <c r="N184" i="5"/>
  <c r="N183" i="5"/>
  <c r="N182" i="5"/>
  <c r="N180" i="5"/>
  <c r="N179" i="5"/>
  <c r="N178" i="5"/>
  <c r="N177" i="5"/>
  <c r="H139" i="1"/>
  <c r="W131" i="1" s="1"/>
  <c r="Z131" i="1" s="1"/>
  <c r="H134" i="1"/>
  <c r="N175" i="5"/>
  <c r="N174" i="5"/>
  <c r="N172" i="5"/>
  <c r="N170" i="5"/>
  <c r="G166" i="5"/>
  <c r="P165" i="5"/>
  <c r="I165" i="5"/>
  <c r="G149" i="5"/>
  <c r="G148" i="5"/>
  <c r="V147" i="5"/>
  <c r="G147" i="5"/>
  <c r="E99" i="5"/>
  <c r="H185" i="1" l="1"/>
  <c r="H192" i="1"/>
  <c r="CH221" i="1"/>
  <c r="H188" i="1"/>
  <c r="H190" i="1"/>
  <c r="CF221" i="1"/>
  <c r="CF223" i="1" s="1"/>
  <c r="CF225" i="1" s="1"/>
  <c r="N176" i="5"/>
  <c r="N173" i="5"/>
  <c r="T176" i="5"/>
  <c r="N181" i="5"/>
  <c r="T173" i="5"/>
  <c r="T181" i="5"/>
  <c r="C139" i="5"/>
  <c r="C135" i="5"/>
  <c r="C127" i="5"/>
  <c r="H194" i="1" l="1"/>
  <c r="H196" i="1" s="1"/>
  <c r="I198" i="1" s="1"/>
  <c r="CH223" i="1"/>
  <c r="I379" i="5"/>
  <c r="H199" i="1"/>
  <c r="H201" i="1"/>
  <c r="H203" i="1" s="1"/>
  <c r="CF227" i="1"/>
  <c r="CF229" i="1" s="1"/>
  <c r="I187" i="1"/>
  <c r="BK187" i="1" s="1"/>
  <c r="BF187" i="1" s="1"/>
  <c r="S108" i="5"/>
  <c r="L108" i="5"/>
  <c r="E105" i="5"/>
  <c r="N103" i="5"/>
  <c r="E103" i="5"/>
  <c r="CH225" i="1" l="1"/>
  <c r="H205" i="1"/>
  <c r="H207" i="1" s="1"/>
  <c r="I399" i="5"/>
  <c r="I378" i="5"/>
  <c r="H210" i="1"/>
  <c r="CF231" i="1"/>
  <c r="CF233" i="1" s="1"/>
  <c r="CF235" i="1" s="1"/>
  <c r="CF237" i="1" s="1"/>
  <c r="CF239" i="1" s="1"/>
  <c r="CF241" i="1" s="1"/>
  <c r="CF243" i="1" s="1"/>
  <c r="CF251" i="1" s="1"/>
  <c r="CF253" i="1" s="1"/>
  <c r="H356" i="1"/>
  <c r="BK198" i="1"/>
  <c r="E108" i="5"/>
  <c r="S109" i="5" s="1"/>
  <c r="CH227" i="1" l="1"/>
  <c r="CH229" i="1"/>
  <c r="H212" i="1"/>
  <c r="H214" i="1" s="1"/>
  <c r="H216" i="1" s="1"/>
  <c r="H218" i="1" s="1"/>
  <c r="C331" i="5"/>
  <c r="AF356" i="1"/>
  <c r="BF188" i="1"/>
  <c r="O357" i="1"/>
  <c r="J332" i="5" s="1"/>
  <c r="X357" i="1"/>
  <c r="S332" i="5" s="1"/>
  <c r="I209" i="1"/>
  <c r="BK209" i="1" s="1"/>
  <c r="L109" i="5"/>
  <c r="CH231" i="1" l="1"/>
  <c r="I220" i="1"/>
  <c r="BK220" i="1" s="1"/>
  <c r="H221" i="1"/>
  <c r="BF190" i="1"/>
  <c r="BF192" i="1" s="1"/>
  <c r="BF194" i="1" s="1"/>
  <c r="BF196" i="1" s="1"/>
  <c r="CH233" i="1" l="1"/>
  <c r="H223" i="1"/>
  <c r="BF198" i="1"/>
  <c r="BF199" i="1" s="1"/>
  <c r="CH235" i="1" l="1"/>
  <c r="H225" i="1"/>
  <c r="I362" i="5"/>
  <c r="I352" i="5"/>
  <c r="I381" i="5"/>
  <c r="I357" i="5"/>
  <c r="I382" i="5"/>
  <c r="I358" i="5"/>
  <c r="I383" i="5"/>
  <c r="I359" i="5"/>
  <c r="I348" i="5"/>
  <c r="I365" i="5"/>
  <c r="I350" i="5"/>
  <c r="I363" i="5"/>
  <c r="I349" i="5"/>
  <c r="I361" i="5"/>
  <c r="I351" i="5"/>
  <c r="I386" i="5"/>
  <c r="BF201" i="1"/>
  <c r="CH237" i="1" l="1"/>
  <c r="BF203" i="1"/>
  <c r="BF205" i="1" s="1"/>
  <c r="BF207" i="1" s="1"/>
  <c r="H227" i="1"/>
  <c r="CH239" i="1" l="1"/>
  <c r="CH241" i="1" s="1"/>
  <c r="BF209" i="1"/>
  <c r="BF210" i="1" s="1"/>
  <c r="BF212" i="1" s="1"/>
  <c r="BF214" i="1" s="1"/>
  <c r="BF216" i="1" s="1"/>
  <c r="BF218" i="1" s="1"/>
  <c r="H229" i="1"/>
  <c r="I231" i="1" s="1"/>
  <c r="BK231" i="1" s="1"/>
  <c r="CH243" i="1" l="1"/>
  <c r="CH245" i="1" s="1"/>
  <c r="CH247" i="1" s="1"/>
  <c r="CH249" i="1" s="1"/>
  <c r="CH251" i="1" s="1"/>
  <c r="CH253" i="1" s="1"/>
  <c r="CH255" i="1" s="1"/>
  <c r="CU167" i="1" s="1"/>
  <c r="C193" i="5" s="1"/>
  <c r="H232" i="1"/>
  <c r="BF220" i="1"/>
  <c r="CU170" i="1" l="1"/>
  <c r="C199" i="5" s="1"/>
  <c r="CV168" i="1"/>
  <c r="C196" i="5" s="1"/>
  <c r="CV171" i="1"/>
  <c r="N374" i="1" s="1"/>
  <c r="CU169" i="1"/>
  <c r="C197" i="5" s="1"/>
  <c r="CU171" i="1"/>
  <c r="C201" i="5" s="1"/>
  <c r="CV167" i="1"/>
  <c r="CV169" i="1"/>
  <c r="C198" i="5" s="1"/>
  <c r="CU168" i="1"/>
  <c r="C195" i="5" s="1"/>
  <c r="CV170" i="1"/>
  <c r="CV185" i="1"/>
  <c r="N416" i="1" s="1"/>
  <c r="I376" i="5" s="1"/>
  <c r="CU173" i="1"/>
  <c r="C205" i="5" s="1"/>
  <c r="CU185" i="1"/>
  <c r="C229" i="5" s="1"/>
  <c r="CU176" i="1"/>
  <c r="C211" i="5" s="1"/>
  <c r="CU182" i="1"/>
  <c r="C223" i="5" s="1"/>
  <c r="CV173" i="1"/>
  <c r="CV172" i="1"/>
  <c r="CV184" i="1"/>
  <c r="N412" i="1" s="1"/>
  <c r="I354" i="5" s="1"/>
  <c r="CV186" i="1"/>
  <c r="CV183" i="1"/>
  <c r="C226" i="5" s="1"/>
  <c r="CU180" i="1"/>
  <c r="C219" i="5" s="1"/>
  <c r="CU184" i="1"/>
  <c r="C227" i="5" s="1"/>
  <c r="CU183" i="1"/>
  <c r="C225" i="5" s="1"/>
  <c r="CU174" i="1"/>
  <c r="C207" i="5" s="1"/>
  <c r="CU186" i="1"/>
  <c r="C231" i="5" s="1"/>
  <c r="CV179" i="1"/>
  <c r="CU175" i="1"/>
  <c r="C209" i="5" s="1"/>
  <c r="CV174" i="1"/>
  <c r="CV180" i="1"/>
  <c r="CU172" i="1"/>
  <c r="C203" i="5" s="1"/>
  <c r="CV182" i="1"/>
  <c r="CU178" i="1"/>
  <c r="C215" i="5" s="1"/>
  <c r="CU177" i="1"/>
  <c r="C213" i="5" s="1"/>
  <c r="CV176" i="1"/>
  <c r="CV177" i="1"/>
  <c r="CV181" i="1"/>
  <c r="N405" i="1" s="1"/>
  <c r="I393" i="5" s="1"/>
  <c r="CU179" i="1"/>
  <c r="C217" i="5" s="1"/>
  <c r="CV175" i="1"/>
  <c r="CV178" i="1"/>
  <c r="CU181" i="1"/>
  <c r="C221" i="5" s="1"/>
  <c r="CT189" i="1"/>
  <c r="H234" i="1"/>
  <c r="H236" i="1" s="1"/>
  <c r="BF221" i="1"/>
  <c r="BF223" i="1" s="1"/>
  <c r="N375" i="1" l="1"/>
  <c r="N366" i="1"/>
  <c r="I380" i="5" s="1"/>
  <c r="N364" i="1"/>
  <c r="N373" i="1"/>
  <c r="N365" i="1"/>
  <c r="N368" i="1"/>
  <c r="I360" i="5" s="1"/>
  <c r="N367" i="1"/>
  <c r="C202" i="5"/>
  <c r="N369" i="1"/>
  <c r="N363" i="1"/>
  <c r="N361" i="1"/>
  <c r="N421" i="1" s="1"/>
  <c r="C194" i="5"/>
  <c r="N362" i="1"/>
  <c r="C228" i="5"/>
  <c r="N370" i="1"/>
  <c r="N372" i="1"/>
  <c r="C200" i="5"/>
  <c r="N371" i="1"/>
  <c r="N395" i="1"/>
  <c r="I369" i="5" s="1"/>
  <c r="N396" i="1"/>
  <c r="I390" i="5" s="1"/>
  <c r="N394" i="1"/>
  <c r="C216" i="5"/>
  <c r="N387" i="1"/>
  <c r="I387" i="5" s="1"/>
  <c r="N385" i="1"/>
  <c r="C210" i="5"/>
  <c r="N386" i="1"/>
  <c r="I366" i="5" s="1"/>
  <c r="N390" i="1"/>
  <c r="I388" i="5" s="1"/>
  <c r="N388" i="1"/>
  <c r="N389" i="1"/>
  <c r="I367" i="5" s="1"/>
  <c r="C212" i="5"/>
  <c r="N397" i="1"/>
  <c r="N398" i="1"/>
  <c r="I370" i="5" s="1"/>
  <c r="C218" i="5"/>
  <c r="N399" i="1"/>
  <c r="I391" i="5" s="1"/>
  <c r="N391" i="1"/>
  <c r="I347" i="5" s="1"/>
  <c r="N392" i="1"/>
  <c r="I368" i="5" s="1"/>
  <c r="N393" i="1"/>
  <c r="I389" i="5" s="1"/>
  <c r="C214" i="5"/>
  <c r="C204" i="5"/>
  <c r="N376" i="1"/>
  <c r="I345" i="5" s="1"/>
  <c r="N378" i="1"/>
  <c r="I384" i="5" s="1"/>
  <c r="N377" i="1"/>
  <c r="C208" i="5"/>
  <c r="N384" i="1"/>
  <c r="N382" i="1"/>
  <c r="N383" i="1"/>
  <c r="I353" i="5" s="1"/>
  <c r="C206" i="5"/>
  <c r="N381" i="1"/>
  <c r="I385" i="5" s="1"/>
  <c r="N380" i="1"/>
  <c r="I364" i="5" s="1"/>
  <c r="N379" i="1"/>
  <c r="I343" i="5" s="1"/>
  <c r="N414" i="1"/>
  <c r="I396" i="5" s="1"/>
  <c r="N404" i="1"/>
  <c r="I372" i="5" s="1"/>
  <c r="N413" i="1"/>
  <c r="C230" i="5"/>
  <c r="N403" i="1"/>
  <c r="N401" i="1"/>
  <c r="I371" i="5" s="1"/>
  <c r="N402" i="1"/>
  <c r="I392" i="5" s="1"/>
  <c r="N400" i="1"/>
  <c r="C220" i="5"/>
  <c r="N417" i="1"/>
  <c r="I397" i="5" s="1"/>
  <c r="C222" i="5"/>
  <c r="N409" i="1"/>
  <c r="C224" i="5"/>
  <c r="N407" i="1"/>
  <c r="I373" i="5" s="1"/>
  <c r="N406" i="1"/>
  <c r="N408" i="1"/>
  <c r="I394" i="5" s="1"/>
  <c r="N410" i="1"/>
  <c r="I374" i="5" s="1"/>
  <c r="N411" i="1"/>
  <c r="I395" i="5" s="1"/>
  <c r="N415" i="1"/>
  <c r="I355" i="5" s="1"/>
  <c r="H238" i="1"/>
  <c r="H240" i="1" s="1"/>
  <c r="H243" i="1" s="1"/>
  <c r="H245" i="1" s="1"/>
  <c r="C232" i="5"/>
  <c r="N418" i="1"/>
  <c r="I356" i="5" s="1"/>
  <c r="N419" i="1"/>
  <c r="I377" i="5" s="1"/>
  <c r="N420" i="1"/>
  <c r="I398" i="5" s="1"/>
  <c r="BF225" i="1"/>
  <c r="I344" i="5" l="1"/>
  <c r="N422" i="1"/>
  <c r="I337" i="5"/>
  <c r="N423" i="1"/>
  <c r="I341" i="5"/>
  <c r="H247" i="1"/>
  <c r="I242" i="1"/>
  <c r="BK242" i="1" s="1"/>
  <c r="BF227" i="1"/>
  <c r="BF229" i="1" s="1"/>
  <c r="I342" i="5" l="1"/>
  <c r="I346" i="5"/>
  <c r="I340" i="5"/>
  <c r="I339" i="5"/>
  <c r="I338" i="5"/>
  <c r="H249" i="1"/>
  <c r="BF231" i="1"/>
  <c r="BF232" i="1" s="1"/>
  <c r="H251" i="1" l="1"/>
  <c r="U215" i="5" s="1"/>
  <c r="U211" i="5"/>
  <c r="BF234" i="1"/>
  <c r="BF236" i="1" s="1"/>
  <c r="U213" i="5" l="1"/>
  <c r="U207" i="5"/>
  <c r="U209" i="5"/>
  <c r="U199" i="5"/>
  <c r="U223" i="5"/>
  <c r="U227" i="5"/>
  <c r="H255" i="1"/>
  <c r="BF238" i="1"/>
  <c r="BF240" i="1" s="1"/>
  <c r="U201" i="5"/>
  <c r="U197" i="5"/>
  <c r="U225" i="5"/>
  <c r="U193" i="5"/>
  <c r="U205" i="5"/>
  <c r="U221" i="5"/>
  <c r="U203" i="5"/>
  <c r="U195" i="5"/>
  <c r="U219" i="5"/>
  <c r="BF253" i="1"/>
  <c r="BF254" i="1" s="1"/>
  <c r="BF242" i="1" l="1"/>
  <c r="BF243" i="1" s="1"/>
  <c r="BF245" i="1" s="1"/>
  <c r="BF247" i="1" s="1"/>
  <c r="BF249" i="1" s="1"/>
  <c r="BF251" i="1" s="1"/>
  <c r="H257" i="1"/>
  <c r="BF255" i="1"/>
  <c r="BF257" i="1" l="1"/>
  <c r="BF259" i="1" s="1"/>
  <c r="BF261" i="1" s="1"/>
  <c r="BF263" i="1" s="1"/>
  <c r="H259" i="1"/>
  <c r="BF265" i="1" l="1"/>
  <c r="BF267" i="1" s="1"/>
  <c r="H261" i="1"/>
  <c r="H263" i="1" l="1"/>
  <c r="F199" i="5" s="1"/>
  <c r="BY188" i="1"/>
  <c r="CA188" i="1"/>
  <c r="BW188" i="1"/>
  <c r="CB188" i="1" s="1"/>
  <c r="BX188" i="1"/>
  <c r="E285" i="5" s="1"/>
  <c r="BZ188" i="1"/>
  <c r="CE188" i="1"/>
  <c r="CC188" i="1"/>
  <c r="T285" i="5" s="1"/>
  <c r="CD188" i="1"/>
  <c r="CE171" i="1"/>
  <c r="X251" i="5" s="1"/>
  <c r="BW167" i="1"/>
  <c r="CB167" i="1" s="1"/>
  <c r="CA167" i="1"/>
  <c r="BX167" i="1"/>
  <c r="BZ167" i="1"/>
  <c r="CE167" i="1"/>
  <c r="CC167" i="1"/>
  <c r="CD167" i="1"/>
  <c r="BY167" i="1"/>
  <c r="BW169" i="1"/>
  <c r="CB169" i="1" s="1"/>
  <c r="CD173" i="1"/>
  <c r="V255" i="5" s="1"/>
  <c r="BX169" i="1"/>
  <c r="CD169" i="1"/>
  <c r="CE169" i="1"/>
  <c r="BW172" i="1"/>
  <c r="CB172" i="1" s="1"/>
  <c r="BX170" i="1"/>
  <c r="CE170" i="1"/>
  <c r="BY178" i="1"/>
  <c r="BW176" i="1"/>
  <c r="CB176" i="1" s="1"/>
  <c r="BW177" i="1"/>
  <c r="CB177" i="1" s="1"/>
  <c r="CD175" i="1"/>
  <c r="CE173" i="1"/>
  <c r="BX178" i="1"/>
  <c r="BW170" i="1"/>
  <c r="CB170" i="1" s="1"/>
  <c r="BW175" i="1"/>
  <c r="CB175" i="1" s="1"/>
  <c r="BZ178" i="1"/>
  <c r="BX174" i="1"/>
  <c r="CE175" i="1"/>
  <c r="CE178" i="1"/>
  <c r="CD174" i="1"/>
  <c r="CE176" i="1"/>
  <c r="CE172" i="1"/>
  <c r="BX176" i="1"/>
  <c r="CD176" i="1"/>
  <c r="CD177" i="1"/>
  <c r="BX172" i="1"/>
  <c r="CE174" i="1"/>
  <c r="CD172" i="1"/>
  <c r="BX177" i="1"/>
  <c r="BW174" i="1"/>
  <c r="CB174" i="1" s="1"/>
  <c r="BW171" i="1"/>
  <c r="CB171" i="1" s="1"/>
  <c r="BW173" i="1"/>
  <c r="CB173" i="1" s="1"/>
  <c r="CE177" i="1"/>
  <c r="CD187" i="1"/>
  <c r="V283" i="5" s="1"/>
  <c r="BW168" i="1"/>
  <c r="CB168" i="1" s="1"/>
  <c r="CD168" i="1"/>
  <c r="CE168" i="1"/>
  <c r="BX168" i="1"/>
  <c r="CD178" i="1"/>
  <c r="CC178" i="1"/>
  <c r="BW178" i="1"/>
  <c r="CB178" i="1" s="1"/>
  <c r="BX171" i="1"/>
  <c r="BX175" i="1"/>
  <c r="CD170" i="1"/>
  <c r="CD171" i="1"/>
  <c r="BX173" i="1"/>
  <c r="BZ180" i="1"/>
  <c r="BY180" i="1"/>
  <c r="BX179" i="1"/>
  <c r="E267" i="5" s="1"/>
  <c r="CD180" i="1"/>
  <c r="V269" i="5" s="1"/>
  <c r="CE179" i="1"/>
  <c r="X267" i="5" s="1"/>
  <c r="CD179" i="1"/>
  <c r="V267" i="5" s="1"/>
  <c r="CC179" i="1"/>
  <c r="Y311" i="1" s="1"/>
  <c r="BZ179" i="1"/>
  <c r="BX180" i="1"/>
  <c r="E269" i="5" s="1"/>
  <c r="BW180" i="1"/>
  <c r="CE180" i="1"/>
  <c r="X269" i="5" s="1"/>
  <c r="CA179" i="1"/>
  <c r="BY179" i="1"/>
  <c r="BW179" i="1"/>
  <c r="CB179" i="1" s="1"/>
  <c r="CC180" i="1"/>
  <c r="T269" i="5" s="1"/>
  <c r="CA180" i="1"/>
  <c r="BX182" i="1"/>
  <c r="J317" i="1" s="1"/>
  <c r="CD182" i="1"/>
  <c r="V273" i="5" s="1"/>
  <c r="BZ182" i="1"/>
  <c r="BW182" i="1"/>
  <c r="BX181" i="1"/>
  <c r="BW181" i="1"/>
  <c r="CB181" i="1" s="1"/>
  <c r="CE181" i="1"/>
  <c r="BY181" i="1"/>
  <c r="CE182" i="1"/>
  <c r="AC317" i="1" s="1"/>
  <c r="CC182" i="1"/>
  <c r="Y317" i="1" s="1"/>
  <c r="BZ181" i="1"/>
  <c r="CA181" i="1"/>
  <c r="BY182" i="1"/>
  <c r="CA182" i="1"/>
  <c r="CC181" i="1"/>
  <c r="CD181" i="1"/>
  <c r="BW183" i="1"/>
  <c r="CC183" i="1"/>
  <c r="Y319" i="1" s="1"/>
  <c r="BZ183" i="1"/>
  <c r="CA183" i="1"/>
  <c r="CE183" i="1"/>
  <c r="X275" i="5" s="1"/>
  <c r="BY183" i="1"/>
  <c r="CD183" i="1"/>
  <c r="V275" i="5" s="1"/>
  <c r="BX183" i="1"/>
  <c r="E275" i="5" s="1"/>
  <c r="BW184" i="1"/>
  <c r="BY184" i="1"/>
  <c r="CD184" i="1"/>
  <c r="V277" i="5" s="1"/>
  <c r="CC184" i="1"/>
  <c r="Y321" i="1" s="1"/>
  <c r="CE184" i="1"/>
  <c r="X277" i="5" s="1"/>
  <c r="CA184" i="1"/>
  <c r="BX184" i="1"/>
  <c r="J321" i="1" s="1"/>
  <c r="BZ184" i="1"/>
  <c r="CE185" i="1"/>
  <c r="AC323" i="1" s="1"/>
  <c r="CC185" i="1"/>
  <c r="T279" i="5" s="1"/>
  <c r="CA185" i="1"/>
  <c r="BX185" i="1"/>
  <c r="J323" i="1" s="1"/>
  <c r="BY185" i="1"/>
  <c r="BZ185" i="1"/>
  <c r="CD185" i="1"/>
  <c r="V279" i="5" s="1"/>
  <c r="BW185" i="1"/>
  <c r="CC186" i="1"/>
  <c r="Y325" i="1" s="1"/>
  <c r="BZ186" i="1"/>
  <c r="CE186" i="1"/>
  <c r="X281" i="5" s="1"/>
  <c r="CD186" i="1"/>
  <c r="V281" i="5" s="1"/>
  <c r="BY186" i="1"/>
  <c r="BX186" i="1"/>
  <c r="J325" i="1" s="1"/>
  <c r="CA186" i="1"/>
  <c r="BW186" i="1"/>
  <c r="CE187" i="1"/>
  <c r="AC327" i="1" s="1"/>
  <c r="BF271" i="1"/>
  <c r="CA178" i="1"/>
  <c r="BW187" i="1"/>
  <c r="CC187" i="1"/>
  <c r="Y327" i="1" s="1"/>
  <c r="BX187" i="1"/>
  <c r="J327" i="1" s="1"/>
  <c r="CA187" i="1"/>
  <c r="BZ187" i="1"/>
  <c r="BY187" i="1"/>
  <c r="BZ189" i="1"/>
  <c r="CA189" i="1"/>
  <c r="BY189" i="1"/>
  <c r="BW189" i="1"/>
  <c r="BX189" i="1"/>
  <c r="E287" i="5" s="1"/>
  <c r="CC189" i="1"/>
  <c r="CD189" i="1"/>
  <c r="V287" i="5" s="1"/>
  <c r="CE189" i="1"/>
  <c r="BW190" i="1"/>
  <c r="CB190" i="1" s="1"/>
  <c r="CE190" i="1"/>
  <c r="BZ190" i="1"/>
  <c r="CD190" i="1"/>
  <c r="BX190" i="1"/>
  <c r="BW195" i="1"/>
  <c r="CB195" i="1" s="1"/>
  <c r="BY190" i="1"/>
  <c r="BY196" i="1"/>
  <c r="CA190" i="1"/>
  <c r="CC190" i="1"/>
  <c r="BX195" i="1"/>
  <c r="BZ191" i="1"/>
  <c r="BX194" i="1"/>
  <c r="E297" i="5" s="1"/>
  <c r="CC191" i="1"/>
  <c r="CC196" i="1"/>
  <c r="CA193" i="1"/>
  <c r="CD195" i="1"/>
  <c r="CC193" i="1"/>
  <c r="CE192" i="1"/>
  <c r="CD191" i="1"/>
  <c r="BX191" i="1"/>
  <c r="CE191" i="1"/>
  <c r="BY192" i="1"/>
  <c r="BZ194" i="1"/>
  <c r="CC194" i="1"/>
  <c r="T297" i="5" s="1"/>
  <c r="CA196" i="1"/>
  <c r="BW191" i="1"/>
  <c r="CB191" i="1" s="1"/>
  <c r="BW193" i="1"/>
  <c r="CB193" i="1" s="1"/>
  <c r="BX196" i="1"/>
  <c r="CD194" i="1"/>
  <c r="V297" i="5" s="1"/>
  <c r="BW196" i="1"/>
  <c r="CB196" i="1" s="1"/>
  <c r="BX193" i="1"/>
  <c r="BX192" i="1"/>
  <c r="BW194" i="1"/>
  <c r="CD196" i="1"/>
  <c r="CE196" i="1"/>
  <c r="CA195" i="1"/>
  <c r="CA191" i="1"/>
  <c r="CE194" i="1"/>
  <c r="X297" i="5" s="1"/>
  <c r="BY191" i="1"/>
  <c r="BY193" i="1"/>
  <c r="CC192" i="1"/>
  <c r="CE195" i="1"/>
  <c r="CD193" i="1"/>
  <c r="BZ195" i="1"/>
  <c r="CA192" i="1"/>
  <c r="BZ193" i="1"/>
  <c r="BY194" i="1"/>
  <c r="BY195" i="1"/>
  <c r="BZ196" i="1"/>
  <c r="CC195" i="1"/>
  <c r="CE193" i="1"/>
  <c r="BW192" i="1"/>
  <c r="CB192" i="1" s="1"/>
  <c r="CD192" i="1"/>
  <c r="BZ192" i="1"/>
  <c r="CA194" i="1"/>
  <c r="P195" i="5" l="1"/>
  <c r="P197" i="5"/>
  <c r="F197" i="5"/>
  <c r="K197" i="5"/>
  <c r="K195" i="5"/>
  <c r="F195" i="5"/>
  <c r="P193" i="5"/>
  <c r="P201" i="5"/>
  <c r="P205" i="5"/>
  <c r="K199" i="5"/>
  <c r="P203" i="5"/>
  <c r="K205" i="5"/>
  <c r="F209" i="5"/>
  <c r="F201" i="5"/>
  <c r="F205" i="5"/>
  <c r="P199" i="5"/>
  <c r="F203" i="5"/>
  <c r="K203" i="5"/>
  <c r="K201" i="5"/>
  <c r="K209" i="5"/>
  <c r="U229" i="5"/>
  <c r="K213" i="5"/>
  <c r="F219" i="5"/>
  <c r="K207" i="5"/>
  <c r="F207" i="5"/>
  <c r="P211" i="5"/>
  <c r="K211" i="5"/>
  <c r="P209" i="5"/>
  <c r="F211" i="5"/>
  <c r="P213" i="5"/>
  <c r="P207" i="5"/>
  <c r="K229" i="5"/>
  <c r="F227" i="5"/>
  <c r="P223" i="5"/>
  <c r="P217" i="5"/>
  <c r="F221" i="5"/>
  <c r="K223" i="5"/>
  <c r="F217" i="5"/>
  <c r="P219" i="5"/>
  <c r="P221" i="5"/>
  <c r="P225" i="5"/>
  <c r="K221" i="5"/>
  <c r="K215" i="5"/>
  <c r="K231" i="5"/>
  <c r="K219" i="5"/>
  <c r="F213" i="5"/>
  <c r="K217" i="5"/>
  <c r="P215" i="5"/>
  <c r="F223" i="5"/>
  <c r="F225" i="5"/>
  <c r="U217" i="5"/>
  <c r="F215" i="5"/>
  <c r="F231" i="5"/>
  <c r="F229" i="5"/>
  <c r="K225" i="5"/>
  <c r="P227" i="5"/>
  <c r="K227" i="5"/>
  <c r="P229" i="5"/>
  <c r="P231" i="5"/>
  <c r="U231" i="5"/>
  <c r="C297" i="5"/>
  <c r="CB194" i="1"/>
  <c r="H297" i="5" s="1"/>
  <c r="C283" i="5"/>
  <c r="CB187" i="1"/>
  <c r="P283" i="5" s="1"/>
  <c r="H323" i="1"/>
  <c r="CB185" i="1"/>
  <c r="H279" i="5" s="1"/>
  <c r="H313" i="1"/>
  <c r="CB180" i="1"/>
  <c r="L269" i="5" s="1"/>
  <c r="C281" i="5"/>
  <c r="CB186" i="1"/>
  <c r="L281" i="5" s="1"/>
  <c r="C273" i="5"/>
  <c r="CB182" i="1"/>
  <c r="Q317" i="1" s="1"/>
  <c r="C287" i="5"/>
  <c r="CB189" i="1"/>
  <c r="U331" i="1" s="1"/>
  <c r="C277" i="5"/>
  <c r="CB184" i="1"/>
  <c r="U321" i="1" s="1"/>
  <c r="C275" i="5"/>
  <c r="CB183" i="1"/>
  <c r="Q319" i="1" s="1"/>
  <c r="AC295" i="1"/>
  <c r="AA327" i="1"/>
  <c r="T267" i="5"/>
  <c r="AA299" i="1"/>
  <c r="U287" i="1"/>
  <c r="AA287" i="1"/>
  <c r="V243" i="5"/>
  <c r="J287" i="1"/>
  <c r="E243" i="5"/>
  <c r="AA291" i="1"/>
  <c r="V247" i="5"/>
  <c r="H291" i="1"/>
  <c r="C247" i="5"/>
  <c r="T243" i="5"/>
  <c r="Y287" i="1"/>
  <c r="P243" i="5"/>
  <c r="H243" i="5"/>
  <c r="M287" i="1"/>
  <c r="X243" i="5"/>
  <c r="AC287" i="1"/>
  <c r="C243" i="5"/>
  <c r="H287" i="1"/>
  <c r="X247" i="5"/>
  <c r="AC291" i="1"/>
  <c r="E247" i="5"/>
  <c r="J291" i="1"/>
  <c r="Q287" i="1"/>
  <c r="L243" i="5"/>
  <c r="J303" i="1"/>
  <c r="E259" i="5"/>
  <c r="C245" i="5"/>
  <c r="H289" i="1"/>
  <c r="V253" i="5"/>
  <c r="AA297" i="1"/>
  <c r="J305" i="1"/>
  <c r="E261" i="5"/>
  <c r="AC303" i="1"/>
  <c r="X259" i="5"/>
  <c r="H303" i="1"/>
  <c r="C259" i="5"/>
  <c r="AA303" i="1"/>
  <c r="V259" i="5"/>
  <c r="H265" i="5"/>
  <c r="M309" i="1"/>
  <c r="E255" i="5"/>
  <c r="J299" i="1"/>
  <c r="E251" i="5"/>
  <c r="J295" i="1"/>
  <c r="J289" i="1"/>
  <c r="E245" i="5"/>
  <c r="H295" i="1"/>
  <c r="C251" i="5"/>
  <c r="AC305" i="1"/>
  <c r="X261" i="5"/>
  <c r="C249" i="5"/>
  <c r="H293" i="1"/>
  <c r="E265" i="5"/>
  <c r="J309" i="1"/>
  <c r="AC293" i="1"/>
  <c r="X249" i="5"/>
  <c r="V251" i="5"/>
  <c r="AA295" i="1"/>
  <c r="H309" i="1"/>
  <c r="C265" i="5"/>
  <c r="X245" i="5"/>
  <c r="AC289" i="1"/>
  <c r="AC307" i="1"/>
  <c r="X263" i="5"/>
  <c r="H301" i="1"/>
  <c r="C257" i="5"/>
  <c r="J297" i="1"/>
  <c r="E253" i="5"/>
  <c r="AC297" i="1"/>
  <c r="X253" i="5"/>
  <c r="V257" i="5"/>
  <c r="AA301" i="1"/>
  <c r="E257" i="5"/>
  <c r="J301" i="1"/>
  <c r="AC299" i="1"/>
  <c r="X255" i="5"/>
  <c r="H307" i="1"/>
  <c r="C263" i="5"/>
  <c r="J293" i="1"/>
  <c r="E249" i="5"/>
  <c r="H297" i="1"/>
  <c r="C253" i="5"/>
  <c r="V249" i="5"/>
  <c r="AA293" i="1"/>
  <c r="T265" i="5"/>
  <c r="Y309" i="1"/>
  <c r="AA309" i="1"/>
  <c r="V265" i="5"/>
  <c r="AA289" i="1"/>
  <c r="V245" i="5"/>
  <c r="C255" i="5"/>
  <c r="H299" i="1"/>
  <c r="J307" i="1"/>
  <c r="E263" i="5"/>
  <c r="AC301" i="1"/>
  <c r="X257" i="5"/>
  <c r="AA307" i="1"/>
  <c r="V263" i="5"/>
  <c r="AA305" i="1"/>
  <c r="V261" i="5"/>
  <c r="AC309" i="1"/>
  <c r="X265" i="5"/>
  <c r="Q309" i="1"/>
  <c r="L265" i="5"/>
  <c r="H305" i="1"/>
  <c r="C261" i="5"/>
  <c r="AC313" i="1"/>
  <c r="M311" i="1"/>
  <c r="AC311" i="1"/>
  <c r="H267" i="5"/>
  <c r="U311" i="1"/>
  <c r="Q311" i="1"/>
  <c r="J313" i="1"/>
  <c r="AA313" i="1"/>
  <c r="Y313" i="1"/>
  <c r="J311" i="1"/>
  <c r="P267" i="5"/>
  <c r="C269" i="5"/>
  <c r="E273" i="5"/>
  <c r="AA311" i="1"/>
  <c r="H311" i="1"/>
  <c r="C267" i="5"/>
  <c r="L267" i="5"/>
  <c r="X273" i="5"/>
  <c r="AA317" i="1"/>
  <c r="H317" i="1"/>
  <c r="H319" i="1"/>
  <c r="T275" i="5"/>
  <c r="X279" i="5"/>
  <c r="T273" i="5"/>
  <c r="U315" i="1"/>
  <c r="P271" i="5"/>
  <c r="H315" i="1"/>
  <c r="C271" i="5"/>
  <c r="E279" i="5"/>
  <c r="V271" i="5"/>
  <c r="AA315" i="1"/>
  <c r="Y315" i="1"/>
  <c r="T271" i="5"/>
  <c r="M315" i="1"/>
  <c r="H271" i="5"/>
  <c r="Q315" i="1"/>
  <c r="L271" i="5"/>
  <c r="AC315" i="1"/>
  <c r="X271" i="5"/>
  <c r="E271" i="5"/>
  <c r="J315" i="1"/>
  <c r="E277" i="5"/>
  <c r="J319" i="1"/>
  <c r="T277" i="5"/>
  <c r="T281" i="5"/>
  <c r="AC321" i="1"/>
  <c r="AA323" i="1"/>
  <c r="AC319" i="1"/>
  <c r="Y323" i="1"/>
  <c r="H325" i="1"/>
  <c r="C279" i="5"/>
  <c r="AA321" i="1"/>
  <c r="AA319" i="1"/>
  <c r="H321" i="1"/>
  <c r="E281" i="5"/>
  <c r="AA325" i="1"/>
  <c r="X283" i="5"/>
  <c r="AC325" i="1"/>
  <c r="U309" i="1"/>
  <c r="P265" i="5"/>
  <c r="T283" i="5"/>
  <c r="E283" i="5"/>
  <c r="H327" i="1"/>
  <c r="H291" i="5"/>
  <c r="H289" i="5"/>
  <c r="H299" i="5"/>
  <c r="P285" i="5"/>
  <c r="H285" i="5"/>
  <c r="L285" i="5"/>
  <c r="P295" i="5"/>
  <c r="L299" i="5"/>
  <c r="L289" i="5"/>
  <c r="Y343" i="1"/>
  <c r="T299" i="5"/>
  <c r="M339" i="1"/>
  <c r="H295" i="5"/>
  <c r="P299" i="5"/>
  <c r="P301" i="5"/>
  <c r="H293" i="5"/>
  <c r="AC337" i="1"/>
  <c r="X293" i="5"/>
  <c r="Y345" i="1"/>
  <c r="T301" i="5"/>
  <c r="J343" i="1"/>
  <c r="E299" i="5"/>
  <c r="H301" i="5"/>
  <c r="AC333" i="1"/>
  <c r="X289" i="5"/>
  <c r="Y331" i="1"/>
  <c r="T287" i="5"/>
  <c r="AA337" i="1"/>
  <c r="V293" i="5"/>
  <c r="AA339" i="1"/>
  <c r="V295" i="5"/>
  <c r="AC345" i="1"/>
  <c r="X301" i="5"/>
  <c r="J337" i="1"/>
  <c r="E293" i="5"/>
  <c r="J345" i="1"/>
  <c r="E301" i="5"/>
  <c r="AC335" i="1"/>
  <c r="X291" i="5"/>
  <c r="Y339" i="1"/>
  <c r="T295" i="5"/>
  <c r="Y335" i="1"/>
  <c r="T291" i="5"/>
  <c r="J333" i="1"/>
  <c r="E289" i="5"/>
  <c r="H333" i="1"/>
  <c r="C289" i="5"/>
  <c r="H329" i="1"/>
  <c r="C285" i="5"/>
  <c r="Q337" i="1"/>
  <c r="L293" i="5"/>
  <c r="L301" i="5"/>
  <c r="H337" i="1"/>
  <c r="C293" i="5"/>
  <c r="Q339" i="1"/>
  <c r="L295" i="5"/>
  <c r="AC343" i="1"/>
  <c r="X299" i="5"/>
  <c r="AA345" i="1"/>
  <c r="V301" i="5"/>
  <c r="J339" i="1"/>
  <c r="E295" i="5"/>
  <c r="H339" i="1"/>
  <c r="C295" i="5"/>
  <c r="J335" i="1"/>
  <c r="E291" i="5"/>
  <c r="AA343" i="1"/>
  <c r="V299" i="5"/>
  <c r="Y333" i="1"/>
  <c r="T289" i="5"/>
  <c r="AA333" i="1"/>
  <c r="V289" i="5"/>
  <c r="AC331" i="1"/>
  <c r="X287" i="5"/>
  <c r="AA329" i="1"/>
  <c r="V285" i="5"/>
  <c r="AC339" i="1"/>
  <c r="X295" i="5"/>
  <c r="U337" i="1"/>
  <c r="P293" i="5"/>
  <c r="Y337" i="1"/>
  <c r="T293" i="5"/>
  <c r="U335" i="1"/>
  <c r="P291" i="5"/>
  <c r="H345" i="1"/>
  <c r="C301" i="5"/>
  <c r="H335" i="1"/>
  <c r="C291" i="5"/>
  <c r="AA335" i="1"/>
  <c r="V291" i="5"/>
  <c r="L291" i="5"/>
  <c r="U333" i="1"/>
  <c r="P289" i="5"/>
  <c r="H343" i="1"/>
  <c r="C299" i="5"/>
  <c r="AC329" i="1"/>
  <c r="X285" i="5"/>
  <c r="M343" i="1"/>
  <c r="Q343" i="1"/>
  <c r="U343" i="1"/>
  <c r="M345" i="1"/>
  <c r="Q345" i="1"/>
  <c r="U345" i="1"/>
  <c r="AA341" i="1"/>
  <c r="AC341" i="1"/>
  <c r="Y341" i="1"/>
  <c r="J341" i="1"/>
  <c r="H341" i="1"/>
  <c r="M335" i="1"/>
  <c r="U339" i="1"/>
  <c r="Q335" i="1"/>
  <c r="M333" i="1"/>
  <c r="M337" i="1"/>
  <c r="Q333" i="1"/>
  <c r="U329" i="1"/>
  <c r="Q329" i="1"/>
  <c r="J331" i="1"/>
  <c r="AA331" i="1"/>
  <c r="H331" i="1"/>
  <c r="M329" i="1"/>
  <c r="J329" i="1"/>
  <c r="Y329" i="1"/>
  <c r="Q341" i="1" l="1"/>
  <c r="L279" i="5"/>
  <c r="M341" i="1"/>
  <c r="U341" i="1"/>
  <c r="P275" i="5"/>
  <c r="H275" i="5"/>
  <c r="P279" i="5"/>
  <c r="P287" i="5"/>
  <c r="L287" i="5"/>
  <c r="P281" i="5"/>
  <c r="M331" i="1"/>
  <c r="H287" i="5"/>
  <c r="H281" i="5"/>
  <c r="M325" i="1"/>
  <c r="M319" i="1"/>
  <c r="M323" i="1"/>
  <c r="U319" i="1"/>
  <c r="P297" i="5"/>
  <c r="Q325" i="1"/>
  <c r="U323" i="1"/>
  <c r="L275" i="5"/>
  <c r="Q327" i="1"/>
  <c r="Q331" i="1"/>
  <c r="L297" i="5"/>
  <c r="U325" i="1"/>
  <c r="Q323" i="1"/>
  <c r="U313" i="1"/>
  <c r="Q321" i="1"/>
  <c r="P269" i="5"/>
  <c r="L277" i="5"/>
  <c r="U327" i="1"/>
  <c r="H277" i="5"/>
  <c r="L273" i="5"/>
  <c r="M313" i="1"/>
  <c r="L283" i="5"/>
  <c r="P273" i="5"/>
  <c r="U317" i="1"/>
  <c r="H273" i="5"/>
  <c r="Q313" i="1"/>
  <c r="M327" i="1"/>
  <c r="H283" i="5"/>
  <c r="M321" i="1"/>
  <c r="P277" i="5"/>
  <c r="M317" i="1"/>
  <c r="H269" i="5"/>
  <c r="DC167" i="1"/>
  <c r="CY167" i="1" s="1"/>
  <c r="H445" i="1" l="1"/>
  <c r="CY168" i="1"/>
  <c r="CY169" i="1" l="1"/>
  <c r="CY170" i="1" s="1"/>
  <c r="CY171" i="1" l="1"/>
  <c r="CY172" i="1" s="1"/>
  <c r="CY173" i="1" s="1"/>
  <c r="CY174" i="1" s="1"/>
  <c r="BR187" i="1"/>
  <c r="BQ187" i="1" s="1"/>
  <c r="CA169" i="1" s="1"/>
  <c r="DD167" i="1"/>
  <c r="Z187" i="1"/>
  <c r="BP187" i="1" s="1"/>
  <c r="W187" i="1"/>
  <c r="BO187" i="1" s="1"/>
  <c r="L30" i="1" l="1"/>
  <c r="BZ176" i="1"/>
  <c r="Q305" i="1" s="1"/>
  <c r="BZ177" i="1"/>
  <c r="BZ174" i="1"/>
  <c r="BZ175" i="1"/>
  <c r="BZ172" i="1"/>
  <c r="BZ173" i="1"/>
  <c r="Q121" i="5"/>
  <c r="G123" i="5"/>
  <c r="Q124" i="5"/>
  <c r="G120" i="5"/>
  <c r="G125" i="5"/>
  <c r="C120" i="5"/>
  <c r="C125" i="5"/>
  <c r="Q123" i="5"/>
  <c r="L125" i="5"/>
  <c r="Q125" i="5"/>
  <c r="G122" i="5"/>
  <c r="V125" i="5"/>
  <c r="L124" i="5"/>
  <c r="G124" i="5"/>
  <c r="L118" i="5"/>
  <c r="L121" i="5"/>
  <c r="C124" i="5"/>
  <c r="C122" i="5"/>
  <c r="L119" i="5"/>
  <c r="C117" i="5"/>
  <c r="BZ170" i="1"/>
  <c r="BZ171" i="1"/>
  <c r="V120" i="5"/>
  <c r="L123" i="5"/>
  <c r="Q122" i="5"/>
  <c r="C121" i="5"/>
  <c r="Q119" i="5"/>
  <c r="G118" i="5"/>
  <c r="V118" i="5"/>
  <c r="V123" i="5"/>
  <c r="L120" i="5"/>
  <c r="G121" i="5"/>
  <c r="V121" i="5"/>
  <c r="V122" i="5"/>
  <c r="L122" i="5"/>
  <c r="CY178" i="1"/>
  <c r="G119" i="5"/>
  <c r="C118" i="5"/>
  <c r="Q117" i="5"/>
  <c r="Q118" i="5"/>
  <c r="C123" i="5"/>
  <c r="V124" i="5"/>
  <c r="V119" i="5"/>
  <c r="C119" i="5"/>
  <c r="Q120" i="5"/>
  <c r="BZ169" i="1"/>
  <c r="BZ168" i="1"/>
  <c r="DA167" i="1"/>
  <c r="G117" i="5" s="1"/>
  <c r="DB167" i="1"/>
  <c r="L117" i="5" s="1"/>
  <c r="Q30" i="1"/>
  <c r="AH187" i="1"/>
  <c r="L261" i="5" l="1"/>
  <c r="BY176" i="1"/>
  <c r="M305" i="1" s="1"/>
  <c r="BY177" i="1"/>
  <c r="Q307" i="1"/>
  <c r="L263" i="5"/>
  <c r="L257" i="5"/>
  <c r="CA177" i="1"/>
  <c r="BY175" i="1"/>
  <c r="L259" i="5"/>
  <c r="Q303" i="1"/>
  <c r="Q301" i="1"/>
  <c r="BY173" i="1"/>
  <c r="H255" i="5" s="1"/>
  <c r="BY174" i="1"/>
  <c r="Q297" i="1"/>
  <c r="Q293" i="1"/>
  <c r="L255" i="5"/>
  <c r="Q299" i="1"/>
  <c r="L249" i="5"/>
  <c r="L253" i="5"/>
  <c r="BY171" i="1"/>
  <c r="H251" i="5" s="1"/>
  <c r="BY172" i="1"/>
  <c r="L251" i="5"/>
  <c r="Q295" i="1"/>
  <c r="BY168" i="1"/>
  <c r="H245" i="5" s="1"/>
  <c r="BY170" i="1"/>
  <c r="F193" i="5"/>
  <c r="K193" i="5"/>
  <c r="Q291" i="1"/>
  <c r="L247" i="5"/>
  <c r="L245" i="5"/>
  <c r="Q289" i="1"/>
  <c r="BY169" i="1"/>
  <c r="AA30" i="1"/>
  <c r="BS187" i="1"/>
  <c r="DE167" i="1"/>
  <c r="V117" i="5" s="1"/>
  <c r="H261" i="5" l="1"/>
  <c r="U307" i="1"/>
  <c r="P263" i="5"/>
  <c r="CC176" i="1"/>
  <c r="Y305" i="1" s="1"/>
  <c r="CC177" i="1"/>
  <c r="M307" i="1"/>
  <c r="H263" i="5"/>
  <c r="CA175" i="1"/>
  <c r="U303" i="1" s="1"/>
  <c r="CA176" i="1"/>
  <c r="CC174" i="1"/>
  <c r="Y301" i="1" s="1"/>
  <c r="CC175" i="1"/>
  <c r="H259" i="5"/>
  <c r="M303" i="1"/>
  <c r="M299" i="1"/>
  <c r="CA173" i="1"/>
  <c r="U299" i="1" s="1"/>
  <c r="CA174" i="1"/>
  <c r="H257" i="5"/>
  <c r="M301" i="1"/>
  <c r="CC172" i="1"/>
  <c r="Y297" i="1" s="1"/>
  <c r="CC173" i="1"/>
  <c r="M295" i="1"/>
  <c r="CA171" i="1"/>
  <c r="P251" i="5" s="1"/>
  <c r="CA172" i="1"/>
  <c r="H253" i="5"/>
  <c r="M297" i="1"/>
  <c r="CC170" i="1"/>
  <c r="Y293" i="1" s="1"/>
  <c r="CC171" i="1"/>
  <c r="CA170" i="1"/>
  <c r="P249" i="5" s="1"/>
  <c r="U291" i="1"/>
  <c r="M289" i="1"/>
  <c r="H249" i="5"/>
  <c r="M293" i="1"/>
  <c r="CC169" i="1"/>
  <c r="T247" i="5" s="1"/>
  <c r="CC168" i="1"/>
  <c r="CA168" i="1"/>
  <c r="M291" i="1"/>
  <c r="H247" i="5"/>
  <c r="P259" i="5" l="1"/>
  <c r="T261" i="5"/>
  <c r="Y307" i="1"/>
  <c r="T263" i="5"/>
  <c r="P261" i="5"/>
  <c r="U305" i="1"/>
  <c r="T257" i="5"/>
  <c r="Y303" i="1"/>
  <c r="T259" i="5"/>
  <c r="P255" i="5"/>
  <c r="T253" i="5"/>
  <c r="U301" i="1"/>
  <c r="P257" i="5"/>
  <c r="T255" i="5"/>
  <c r="Y299" i="1"/>
  <c r="U295" i="1"/>
  <c r="P253" i="5"/>
  <c r="U297" i="1"/>
  <c r="T249" i="5"/>
  <c r="U293" i="1"/>
  <c r="T251" i="5"/>
  <c r="Y295" i="1"/>
  <c r="Y291" i="1"/>
  <c r="P245" i="5"/>
  <c r="U289" i="1"/>
  <c r="P247" i="5"/>
  <c r="T245" i="5"/>
  <c r="Y289" i="1"/>
  <c r="AN169" i="1"/>
  <c r="AN170" i="1" l="1"/>
  <c r="AN171" i="1"/>
  <c r="AN172" i="1" l="1"/>
  <c r="AN173" i="1" l="1"/>
  <c r="AN174" i="1" s="1"/>
  <c r="AN175" i="1" l="1"/>
  <c r="AN176" i="1" s="1"/>
  <c r="AN179" i="1" s="1"/>
  <c r="AN180" i="1"/>
  <c r="AN181" i="1"/>
  <c r="AN182" i="1" s="1"/>
  <c r="AN183" i="1" l="1"/>
  <c r="AN184" i="1" s="1"/>
  <c r="AN185" i="1" s="1"/>
  <c r="AN186" i="1" s="1"/>
</calcChain>
</file>

<file path=xl/comments1.xml><?xml version="1.0" encoding="utf-8"?>
<comments xmlns="http://schemas.openxmlformats.org/spreadsheetml/2006/main">
  <authors>
    <author>USER</author>
  </authors>
  <commentList>
    <comment ref="W166" authorId="0">
      <text>
        <r>
          <rPr>
            <b/>
            <sz val="10"/>
            <color indexed="81"/>
            <rFont val="돋움"/>
            <family val="3"/>
            <charset val="129"/>
          </rPr>
          <t>병합관련</t>
        </r>
        <r>
          <rPr>
            <b/>
            <sz val="10"/>
            <color indexed="81"/>
            <rFont val="Tahoma"/>
            <family val="2"/>
          </rPr>
          <t xml:space="preserve"> </t>
        </r>
        <r>
          <rPr>
            <b/>
            <sz val="10"/>
            <color indexed="81"/>
            <rFont val="돋움"/>
            <family val="3"/>
            <charset val="129"/>
          </rPr>
          <t>오류</t>
        </r>
        <r>
          <rPr>
            <b/>
            <sz val="10"/>
            <color indexed="81"/>
            <rFont val="Tahoma"/>
            <family val="2"/>
          </rPr>
          <t>:</t>
        </r>
        <r>
          <rPr>
            <b/>
            <sz val="9"/>
            <color indexed="81"/>
            <rFont val="Tahoma"/>
            <family val="2"/>
          </rPr>
          <t xml:space="preserve">
</t>
        </r>
        <r>
          <rPr>
            <sz val="10"/>
            <color indexed="81"/>
            <rFont val="Tahoma"/>
            <family val="2"/>
          </rPr>
          <t>- "</t>
        </r>
        <r>
          <rPr>
            <sz val="10"/>
            <color indexed="81"/>
            <rFont val="돋움"/>
            <family val="3"/>
            <charset val="129"/>
          </rPr>
          <t>병합된</t>
        </r>
        <r>
          <rPr>
            <sz val="10"/>
            <color indexed="81"/>
            <rFont val="Tahoma"/>
            <family val="2"/>
          </rPr>
          <t xml:space="preserve"> </t>
        </r>
        <r>
          <rPr>
            <sz val="10"/>
            <color indexed="81"/>
            <rFont val="돋움"/>
            <family val="3"/>
            <charset val="129"/>
          </rPr>
          <t>셀에서는</t>
        </r>
        <r>
          <rPr>
            <sz val="10"/>
            <color indexed="81"/>
            <rFont val="Tahoma"/>
            <family val="2"/>
          </rPr>
          <t xml:space="preserve"> </t>
        </r>
        <r>
          <rPr>
            <sz val="10"/>
            <color indexed="81"/>
            <rFont val="돋움"/>
            <family val="3"/>
            <charset val="129"/>
          </rPr>
          <t>실행할</t>
        </r>
        <r>
          <rPr>
            <sz val="10"/>
            <color indexed="81"/>
            <rFont val="Tahoma"/>
            <family val="2"/>
          </rPr>
          <t xml:space="preserve"> </t>
        </r>
        <r>
          <rPr>
            <sz val="10"/>
            <color indexed="81"/>
            <rFont val="돋움"/>
            <family val="3"/>
            <charset val="129"/>
          </rPr>
          <t>수</t>
        </r>
        <r>
          <rPr>
            <sz val="10"/>
            <color indexed="81"/>
            <rFont val="Tahoma"/>
            <family val="2"/>
          </rPr>
          <t xml:space="preserve"> </t>
        </r>
        <r>
          <rPr>
            <sz val="10"/>
            <color indexed="81"/>
            <rFont val="돋움"/>
            <family val="3"/>
            <charset val="129"/>
          </rPr>
          <t>없습니다</t>
        </r>
        <r>
          <rPr>
            <sz val="10"/>
            <color indexed="81"/>
            <rFont val="Tahoma"/>
            <family val="2"/>
          </rPr>
          <t xml:space="preserve">." </t>
        </r>
        <r>
          <rPr>
            <sz val="10"/>
            <color indexed="81"/>
            <rFont val="돋움"/>
            <family val="3"/>
            <charset val="129"/>
          </rPr>
          <t>라는</t>
        </r>
        <r>
          <rPr>
            <sz val="10"/>
            <color indexed="81"/>
            <rFont val="Tahoma"/>
            <family val="2"/>
          </rPr>
          <t xml:space="preserve"> </t>
        </r>
        <r>
          <rPr>
            <sz val="10"/>
            <color indexed="81"/>
            <rFont val="돋움"/>
            <family val="3"/>
            <charset val="129"/>
          </rPr>
          <t>문구가</t>
        </r>
        <r>
          <rPr>
            <sz val="10"/>
            <color indexed="81"/>
            <rFont val="Tahoma"/>
            <family val="2"/>
          </rPr>
          <t xml:space="preserve"> </t>
        </r>
        <r>
          <rPr>
            <sz val="10"/>
            <color indexed="81"/>
            <rFont val="돋움"/>
            <family val="3"/>
            <charset val="129"/>
          </rPr>
          <t>뜰</t>
        </r>
        <r>
          <rPr>
            <sz val="10"/>
            <color indexed="81"/>
            <rFont val="Tahoma"/>
            <family val="2"/>
          </rPr>
          <t xml:space="preserve"> </t>
        </r>
        <r>
          <rPr>
            <sz val="10"/>
            <color indexed="81"/>
            <rFont val="돋움"/>
            <family val="3"/>
            <charset val="129"/>
          </rPr>
          <t>경우</t>
        </r>
        <r>
          <rPr>
            <sz val="10"/>
            <color indexed="81"/>
            <rFont val="Tahoma"/>
            <family val="2"/>
          </rPr>
          <t xml:space="preserve"> "</t>
        </r>
        <r>
          <rPr>
            <sz val="10"/>
            <color indexed="81"/>
            <rFont val="돋움"/>
            <family val="3"/>
            <charset val="129"/>
          </rPr>
          <t>확인</t>
        </r>
        <r>
          <rPr>
            <sz val="10"/>
            <color indexed="81"/>
            <rFont val="Tahoma"/>
            <family val="2"/>
          </rPr>
          <t>"</t>
        </r>
        <r>
          <rPr>
            <sz val="10"/>
            <color indexed="81"/>
            <rFont val="돋움"/>
            <family val="3"/>
            <charset val="129"/>
          </rPr>
          <t>을</t>
        </r>
        <r>
          <rPr>
            <sz val="10"/>
            <color indexed="81"/>
            <rFont val="Tahoma"/>
            <family val="2"/>
          </rPr>
          <t xml:space="preserve"> </t>
        </r>
        <r>
          <rPr>
            <sz val="10"/>
            <color indexed="81"/>
            <rFont val="돋움"/>
            <family val="3"/>
            <charset val="129"/>
          </rPr>
          <t>누르신</t>
        </r>
        <r>
          <rPr>
            <sz val="10"/>
            <color indexed="81"/>
            <rFont val="Tahoma"/>
            <family val="2"/>
          </rPr>
          <t xml:space="preserve"> </t>
        </r>
        <r>
          <rPr>
            <sz val="10"/>
            <color indexed="81"/>
            <rFont val="돋움"/>
            <family val="3"/>
            <charset val="129"/>
          </rPr>
          <t>후</t>
        </r>
        <r>
          <rPr>
            <sz val="10"/>
            <color indexed="81"/>
            <rFont val="Tahoma"/>
            <family val="2"/>
          </rPr>
          <t xml:space="preserve"> </t>
        </r>
        <r>
          <rPr>
            <sz val="10"/>
            <color indexed="81"/>
            <rFont val="돋움"/>
            <family val="3"/>
            <charset val="129"/>
          </rPr>
          <t>무시하시기</t>
        </r>
        <r>
          <rPr>
            <sz val="10"/>
            <color indexed="81"/>
            <rFont val="Tahoma"/>
            <family val="2"/>
          </rPr>
          <t xml:space="preserve"> </t>
        </r>
        <r>
          <rPr>
            <sz val="10"/>
            <color indexed="81"/>
            <rFont val="돋움"/>
            <family val="3"/>
            <charset val="129"/>
          </rPr>
          <t>바랍니다</t>
        </r>
        <r>
          <rPr>
            <sz val="10"/>
            <color indexed="81"/>
            <rFont val="Tahoma"/>
            <family val="2"/>
          </rPr>
          <t>.</t>
        </r>
        <r>
          <rPr>
            <sz val="9"/>
            <color indexed="81"/>
            <rFont val="Tahoma"/>
            <family val="2"/>
          </rPr>
          <t xml:space="preserve">
</t>
        </r>
      </text>
    </comment>
    <comment ref="CA169" authorId="0">
      <text>
        <r>
          <rPr>
            <b/>
            <sz val="9"/>
            <color indexed="81"/>
            <rFont val="Tahoma"/>
            <family val="2"/>
          </rPr>
          <t>USER:</t>
        </r>
        <r>
          <rPr>
            <sz val="9"/>
            <color indexed="81"/>
            <rFont val="Tahoma"/>
            <family val="2"/>
          </rPr>
          <t xml:space="preserve">
</t>
        </r>
        <r>
          <rPr>
            <sz val="9"/>
            <color indexed="81"/>
            <rFont val="돋움"/>
            <family val="3"/>
            <charset val="129"/>
          </rPr>
          <t>버그있음</t>
        </r>
      </text>
    </comment>
  </commentList>
</comments>
</file>

<file path=xl/sharedStrings.xml><?xml version="1.0" encoding="utf-8"?>
<sst xmlns="http://schemas.openxmlformats.org/spreadsheetml/2006/main" count="1172" uniqueCount="731">
  <si>
    <t>1. 신청기업</t>
    <phoneticPr fontId="1" type="noConversion"/>
  </si>
  <si>
    <t>1.1. 기본정보</t>
    <phoneticPr fontId="1" type="noConversion"/>
  </si>
  <si>
    <t>설립일</t>
    <phoneticPr fontId="1" type="noConversion"/>
  </si>
  <si>
    <t>설립목적</t>
    <phoneticPr fontId="1" type="noConversion"/>
  </si>
  <si>
    <t>기관연혁</t>
    <phoneticPr fontId="1" type="noConversion"/>
  </si>
  <si>
    <t>인력현황</t>
    <phoneticPr fontId="1" type="noConversion"/>
  </si>
  <si>
    <t>대표자</t>
    <phoneticPr fontId="1" type="noConversion"/>
  </si>
  <si>
    <t>직원 수</t>
    <phoneticPr fontId="1" type="noConversion"/>
  </si>
  <si>
    <t>주 생산품</t>
    <phoneticPr fontId="1" type="noConversion"/>
  </si>
  <si>
    <t>1.2. 최근 2개년 재무현황</t>
    <phoneticPr fontId="1" type="noConversion"/>
  </si>
  <si>
    <t>유동자산</t>
    <phoneticPr fontId="1" type="noConversion"/>
  </si>
  <si>
    <t>고정자산</t>
    <phoneticPr fontId="1" type="noConversion"/>
  </si>
  <si>
    <t>자산총계</t>
    <phoneticPr fontId="1" type="noConversion"/>
  </si>
  <si>
    <t>유동부채</t>
    <phoneticPr fontId="1" type="noConversion"/>
  </si>
  <si>
    <t>고정부채</t>
    <phoneticPr fontId="1" type="noConversion"/>
  </si>
  <si>
    <t>부채총계</t>
    <phoneticPr fontId="1" type="noConversion"/>
  </si>
  <si>
    <t>자본금</t>
    <phoneticPr fontId="1" type="noConversion"/>
  </si>
  <si>
    <t>이익잉여금</t>
    <phoneticPr fontId="1" type="noConversion"/>
  </si>
  <si>
    <t>자본조정</t>
    <phoneticPr fontId="1" type="noConversion"/>
  </si>
  <si>
    <t>자본총계</t>
    <phoneticPr fontId="1" type="noConversion"/>
  </si>
  <si>
    <t>매출액</t>
    <phoneticPr fontId="1" type="noConversion"/>
  </si>
  <si>
    <t>영업이익</t>
    <phoneticPr fontId="1" type="noConversion"/>
  </si>
  <si>
    <t>경상이익</t>
    <phoneticPr fontId="1" type="noConversion"/>
  </si>
  <si>
    <t>당기순이익</t>
    <phoneticPr fontId="1" type="noConversion"/>
  </si>
  <si>
    <t>이자비용</t>
    <phoneticPr fontId="1" type="noConversion"/>
  </si>
  <si>
    <t>전전년도</t>
    <phoneticPr fontId="1" type="noConversion"/>
  </si>
  <si>
    <t>1. 사업 추진 배경</t>
    <phoneticPr fontId="1" type="noConversion"/>
  </si>
  <si>
    <t>기업명</t>
    <phoneticPr fontId="1" type="noConversion"/>
  </si>
  <si>
    <t>2. 사업의 목표</t>
    <phoneticPr fontId="1" type="noConversion"/>
  </si>
  <si>
    <t>3. 사업내용</t>
    <phoneticPr fontId="1" type="noConversion"/>
  </si>
  <si>
    <t>4. 세부추진일정</t>
    <phoneticPr fontId="1" type="noConversion"/>
  </si>
  <si>
    <t>5. 설치현장 설명사진</t>
    <phoneticPr fontId="1" type="noConversion"/>
  </si>
  <si>
    <t>6. 사업수행참여자 및 업무분장</t>
    <phoneticPr fontId="1" type="noConversion"/>
  </si>
  <si>
    <t>7. 최근 5년간 보조사업 지원이력</t>
    <phoneticPr fontId="1" type="noConversion"/>
  </si>
  <si>
    <t>8. 부정수급 방지대책</t>
    <phoneticPr fontId="1" type="noConversion"/>
  </si>
  <si>
    <t>1. 과제(시설 명)</t>
    <phoneticPr fontId="1" type="noConversion"/>
  </si>
  <si>
    <t>2. 예상 효과</t>
    <phoneticPr fontId="1" type="noConversion"/>
  </si>
  <si>
    <t>개선설비</t>
    <phoneticPr fontId="1" type="noConversion"/>
  </si>
  <si>
    <t>B/C</t>
    <phoneticPr fontId="1" type="noConversion"/>
  </si>
  <si>
    <t>연간B/C</t>
    <phoneticPr fontId="1" type="noConversion"/>
  </si>
  <si>
    <t>총B/C</t>
    <phoneticPr fontId="1" type="noConversion"/>
  </si>
  <si>
    <t>3. 산출근거</t>
    <phoneticPr fontId="1" type="noConversion"/>
  </si>
  <si>
    <t>4. 기타 기대효과</t>
    <phoneticPr fontId="1" type="noConversion"/>
  </si>
  <si>
    <t>1. 총괄표</t>
    <phoneticPr fontId="1" type="noConversion"/>
  </si>
  <si>
    <t>총사업비</t>
    <phoneticPr fontId="1" type="noConversion"/>
  </si>
  <si>
    <t>2. 세부 사용계획</t>
    <phoneticPr fontId="1" type="noConversion"/>
  </si>
  <si>
    <t>세부내역</t>
    <phoneticPr fontId="1" type="noConversion"/>
  </si>
  <si>
    <t>산출근거</t>
    <phoneticPr fontId="1" type="noConversion"/>
  </si>
  <si>
    <t>금액</t>
    <phoneticPr fontId="1" type="noConversion"/>
  </si>
  <si>
    <t>주생산품</t>
    <phoneticPr fontId="1" type="noConversion"/>
  </si>
  <si>
    <t>명 ※ 상시인력 수 기준</t>
    <phoneticPr fontId="1" type="noConversion"/>
  </si>
  <si>
    <t>구 분</t>
    <phoneticPr fontId="1" type="noConversion"/>
  </si>
  <si>
    <t>자본잉여금</t>
    <phoneticPr fontId="1" type="noConversion"/>
  </si>
  <si>
    <t>(단위 : 천원)</t>
    <phoneticPr fontId="1" type="noConversion"/>
  </si>
  <si>
    <t>1. 과제(시설)명</t>
    <phoneticPr fontId="1" type="noConversion"/>
  </si>
  <si>
    <t>2. 예상효과</t>
    <phoneticPr fontId="1" type="noConversion"/>
  </si>
  <si>
    <t>구분</t>
    <phoneticPr fontId="1" type="noConversion"/>
  </si>
  <si>
    <t>개선율
(d=c/a)</t>
    <phoneticPr fontId="1" type="noConversion"/>
  </si>
  <si>
    <t>사업후발생량
(b)</t>
    <phoneticPr fontId="1" type="noConversion"/>
  </si>
  <si>
    <t>변화량
(c=a-b)</t>
    <phoneticPr fontId="1" type="noConversion"/>
  </si>
  <si>
    <t>기존발생량
(a)</t>
    <phoneticPr fontId="1" type="noConversion"/>
  </si>
  <si>
    <t>-</t>
    <phoneticPr fontId="1" type="noConversion"/>
  </si>
  <si>
    <t>(단위 : 천원, %)</t>
    <phoneticPr fontId="1" type="noConversion"/>
  </si>
  <si>
    <t>민간부담금
(B)</t>
    <phoneticPr fontId="1" type="noConversion"/>
  </si>
  <si>
    <t>비목</t>
    <phoneticPr fontId="1" type="noConversion"/>
  </si>
  <si>
    <t>세목</t>
    <phoneticPr fontId="1" type="noConversion"/>
  </si>
  <si>
    <t>사 업 계 획 요 약</t>
    <phoneticPr fontId="1" type="noConversion"/>
  </si>
  <si>
    <t>사업명</t>
    <phoneticPr fontId="1" type="noConversion"/>
  </si>
  <si>
    <t>신청기업</t>
    <phoneticPr fontId="1" type="noConversion"/>
  </si>
  <si>
    <t>과제명</t>
    <phoneticPr fontId="1" type="noConversion"/>
  </si>
  <si>
    <t>사업계획 요약</t>
    <phoneticPr fontId="1" type="noConversion"/>
  </si>
  <si>
    <t>분야</t>
    <phoneticPr fontId="1" type="noConversion"/>
  </si>
  <si>
    <t>협약기간</t>
    <phoneticPr fontId="1" type="noConversion"/>
  </si>
  <si>
    <t>정부지원금</t>
    <phoneticPr fontId="1" type="noConversion"/>
  </si>
  <si>
    <t>민간부담금</t>
    <phoneticPr fontId="1" type="noConversion"/>
  </si>
  <si>
    <t>1.사업 추진 배경</t>
    <phoneticPr fontId="1" type="noConversion"/>
  </si>
  <si>
    <t>2. 사업목표</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</si>
  <si>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</si>
  <si>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</si>
  <si>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</si>
  <si>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</si>
  <si>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</si>
  <si>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기타시설</t>
    <phoneticPr fontId="1" type="noConversion"/>
  </si>
  <si>
    <t>3. 세부사업내용</t>
    <phoneticPr fontId="1" type="noConversion"/>
  </si>
  <si>
    <t>4. 세부추진일정</t>
    <phoneticPr fontId="1" type="noConversion"/>
  </si>
  <si>
    <t>5. 예상효과 및 기타 기대효과</t>
    <phoneticPr fontId="1" type="noConversion"/>
  </si>
  <si>
    <t>자원순환</t>
    <phoneticPr fontId="1" type="noConversion"/>
  </si>
  <si>
    <t>환경보건</t>
    <phoneticPr fontId="1" type="noConversion"/>
  </si>
  <si>
    <t>기타시설</t>
    <phoneticPr fontId="1" type="noConversion"/>
  </si>
  <si>
    <t>온실가스 저감</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</si>
  <si>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</si>
  <si>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</si>
  <si>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</si>
  <si>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</si>
  <si>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분야</t>
    <phoneticPr fontId="1" type="noConversion"/>
  </si>
  <si>
    <t>과제명</t>
    <phoneticPr fontId="1" type="noConversion"/>
  </si>
  <si>
    <t>신청기업</t>
    <phoneticPr fontId="1" type="noConversion"/>
  </si>
  <si>
    <t>협약기간</t>
    <phoneticPr fontId="1" type="noConversion"/>
  </si>
  <si>
    <t>구 분</t>
    <phoneticPr fontId="1" type="noConversion"/>
  </si>
  <si>
    <t>사 업 명</t>
    <phoneticPr fontId="1" type="noConversion"/>
  </si>
  <si>
    <t>금액(천원)</t>
    <phoneticPr fontId="1" type="noConversion"/>
  </si>
  <si>
    <t>총사업비</t>
    <phoneticPr fontId="1" type="noConversion"/>
  </si>
  <si>
    <t>정부지원금</t>
    <phoneticPr fontId="1" type="noConversion"/>
  </si>
  <si>
    <t>민간부담금</t>
    <phoneticPr fontId="1" type="noConversion"/>
  </si>
  <si>
    <t>비율</t>
    <phoneticPr fontId="1" type="noConversion"/>
  </si>
  <si>
    <t>1. 사업추진 배경</t>
    <phoneticPr fontId="1" type="noConversion"/>
  </si>
  <si>
    <t>2. 사업목표</t>
    <phoneticPr fontId="1" type="noConversion"/>
  </si>
  <si>
    <t>3. 세부 사업 내용</t>
    <phoneticPr fontId="1" type="noConversion"/>
  </si>
  <si>
    <t>개선비율</t>
    <phoneticPr fontId="1" type="noConversion"/>
  </si>
  <si>
    <t>변화량(c=a-b)</t>
    <phoneticPr fontId="1" type="noConversion"/>
  </si>
  <si>
    <t>기존 발생량(a)</t>
    <phoneticPr fontId="1" type="noConversion"/>
  </si>
  <si>
    <t>사업후 발생량(b)</t>
    <phoneticPr fontId="1" type="noConversion"/>
  </si>
  <si>
    <t>환경보건(소음)</t>
    <phoneticPr fontId="1" type="noConversion"/>
  </si>
  <si>
    <t>환경보건(악취)</t>
    <phoneticPr fontId="1" type="noConversion"/>
  </si>
  <si>
    <t>4. 세부추진일정</t>
    <phoneticPr fontId="1" type="noConversion"/>
  </si>
  <si>
    <t>5. 예상효과 및 기타 기대효과</t>
    <phoneticPr fontId="1" type="noConversion"/>
  </si>
  <si>
    <t>~</t>
    <phoneticPr fontId="1" type="noConversion"/>
  </si>
  <si>
    <t>년</t>
    <phoneticPr fontId="1" type="noConversion"/>
  </si>
  <si>
    <t>월</t>
    <phoneticPr fontId="1" type="noConversion"/>
  </si>
  <si>
    <t>일</t>
    <phoneticPr fontId="1" type="noConversion"/>
  </si>
  <si>
    <t>총사업비(천원)</t>
    <phoneticPr fontId="1" type="noConversion"/>
  </si>
  <si>
    <t>(천원)</t>
    <phoneticPr fontId="1" type="noConversion"/>
  </si>
  <si>
    <t>(%)</t>
    <phoneticPr fontId="1" type="noConversion"/>
  </si>
  <si>
    <t>(천원)</t>
    <phoneticPr fontId="1" type="noConversion"/>
  </si>
  <si>
    <t>2022년</t>
    <phoneticPr fontId="1" type="noConversion"/>
  </si>
  <si>
    <t>배</t>
    <phoneticPr fontId="1" type="noConversion"/>
  </si>
  <si>
    <t>분야
(설비)</t>
    <phoneticPr fontId="1" type="noConversion"/>
  </si>
  <si>
    <t>구축 설비</t>
    <phoneticPr fontId="1" type="noConversion"/>
  </si>
  <si>
    <t>개선 전</t>
    <phoneticPr fontId="1" type="noConversion"/>
  </si>
  <si>
    <t>개선 후</t>
    <phoneticPr fontId="1" type="noConversion"/>
  </si>
  <si>
    <t>예상효과</t>
    <phoneticPr fontId="1" type="noConversion"/>
  </si>
  <si>
    <t>ICT</t>
    <phoneticPr fontId="1" type="noConversion"/>
  </si>
  <si>
    <t>온실가스 저감</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</si>
  <si>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</si>
  <si>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</si>
  <si>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</si>
  <si>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</si>
  <si>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dB</t>
  </si>
  <si>
    <t>설비 총 개수</t>
    <phoneticPr fontId="1" type="noConversion"/>
  </si>
  <si>
    <t>c</t>
    <phoneticPr fontId="1" type="noConversion"/>
  </si>
  <si>
    <t>분야
(설비)</t>
  </si>
  <si>
    <t>구축 설비</t>
  </si>
  <si>
    <t>예상효과</t>
  </si>
  <si>
    <t>개선 전</t>
  </si>
  <si>
    <t>개선 후</t>
  </si>
  <si>
    <t>B/C</t>
    <phoneticPr fontId="1" type="noConversion"/>
  </si>
  <si>
    <t>연간B/C</t>
    <phoneticPr fontId="1" type="noConversion"/>
  </si>
  <si>
    <t>총B/C</t>
    <phoneticPr fontId="1" type="noConversion"/>
  </si>
  <si>
    <t>개선율</t>
    <phoneticPr fontId="1" type="noConversion"/>
  </si>
  <si>
    <t>단위</t>
    <phoneticPr fontId="1" type="noConversion"/>
  </si>
  <si>
    <t>변화량</t>
    <phoneticPr fontId="1" type="noConversion"/>
  </si>
  <si>
    <t>개선전</t>
    <phoneticPr fontId="1" type="noConversion"/>
  </si>
  <si>
    <t>개선후</t>
    <phoneticPr fontId="1" type="noConversion"/>
  </si>
  <si>
    <t>dB</t>
    <phoneticPr fontId="1" type="noConversion"/>
  </si>
  <si>
    <t>온실가스</t>
    <phoneticPr fontId="1" type="noConversion"/>
  </si>
  <si>
    <t>ICT</t>
    <phoneticPr fontId="1" type="noConversion"/>
  </si>
  <si>
    <t>대기오염</t>
    <phoneticPr fontId="1" type="noConversion"/>
  </si>
  <si>
    <t>수질오염</t>
    <phoneticPr fontId="1" type="noConversion"/>
  </si>
  <si>
    <t>폐기물</t>
    <phoneticPr fontId="1" type="noConversion"/>
  </si>
  <si>
    <t>[합계버전]</t>
    <phoneticPr fontId="1" type="noConversion"/>
  </si>
  <si>
    <t>[합계X버전]</t>
    <phoneticPr fontId="1" type="noConversion"/>
  </si>
  <si>
    <t>자원순환</t>
    <phoneticPr fontId="1" type="noConversion"/>
  </si>
  <si>
    <t>소음</t>
    <phoneticPr fontId="1" type="noConversion"/>
  </si>
  <si>
    <t>변화량</t>
    <phoneticPr fontId="1" type="noConversion"/>
  </si>
  <si>
    <t>단위</t>
    <phoneticPr fontId="1" type="noConversion"/>
  </si>
  <si>
    <t>개선율</t>
    <phoneticPr fontId="1" type="noConversion"/>
  </si>
  <si>
    <t>연간B/C</t>
    <phoneticPr fontId="1" type="noConversion"/>
  </si>
  <si>
    <t>총B/C</t>
    <phoneticPr fontId="1" type="noConversion"/>
  </si>
  <si>
    <t>정부지원금
(A)</t>
    <phoneticPr fontId="1" type="noConversion"/>
  </si>
  <si>
    <t>총사업비
(A+B)</t>
    <phoneticPr fontId="1" type="noConversion"/>
  </si>
  <si>
    <t>고용창출</t>
    <phoneticPr fontId="1" type="noConversion"/>
  </si>
  <si>
    <t>경제적효과</t>
    <phoneticPr fontId="1" type="noConversion"/>
  </si>
  <si>
    <t>명</t>
    <phoneticPr fontId="1" type="noConversion"/>
  </si>
  <si>
    <t>천원/년</t>
    <phoneticPr fontId="1" type="noConversion"/>
  </si>
  <si>
    <t>고용</t>
    <phoneticPr fontId="1" type="noConversion"/>
  </si>
  <si>
    <t>경제</t>
    <phoneticPr fontId="1" type="noConversion"/>
  </si>
  <si>
    <t>-</t>
    <phoneticPr fontId="1" type="noConversion"/>
  </si>
  <si>
    <t>(명)</t>
    <phoneticPr fontId="1" type="noConversion"/>
  </si>
  <si>
    <t>최대값</t>
    <phoneticPr fontId="1" type="noConversion"/>
  </si>
  <si>
    <t>(단위 : 천원)</t>
    <phoneticPr fontId="1" type="noConversion"/>
  </si>
  <si>
    <t>-</t>
    <phoneticPr fontId="1" type="noConversion"/>
  </si>
  <si>
    <t>기타</t>
    <phoneticPr fontId="1" type="noConversion"/>
  </si>
  <si>
    <t>기타시설 단위</t>
    <phoneticPr fontId="1" type="noConversion"/>
  </si>
  <si>
    <r>
      <t>m</t>
    </r>
    <r>
      <rPr>
        <sz val="11"/>
        <color theme="1"/>
        <rFont val="맑은 고딕"/>
        <family val="3"/>
        <charset val="129"/>
      </rPr>
      <t>³</t>
    </r>
    <phoneticPr fontId="1" type="noConversion"/>
  </si>
  <si>
    <r>
      <t>m</t>
    </r>
    <r>
      <rPr>
        <sz val="11"/>
        <color theme="1"/>
        <rFont val="맑은 고딕"/>
        <family val="3"/>
        <charset val="129"/>
      </rPr>
      <t>²</t>
    </r>
    <phoneticPr fontId="1" type="noConversion"/>
  </si>
  <si>
    <t>ton/년</t>
    <phoneticPr fontId="1" type="noConversion"/>
  </si>
  <si>
    <t>개</t>
    <phoneticPr fontId="1" type="noConversion"/>
  </si>
  <si>
    <t>자본잠식율</t>
    <phoneticPr fontId="1" type="noConversion"/>
  </si>
  <si>
    <t>지원가능여부</t>
    <phoneticPr fontId="1" type="noConversion"/>
  </si>
  <si>
    <t>년도</t>
    <phoneticPr fontId="1" type="noConversion"/>
  </si>
  <si>
    <t>설비1</t>
    <phoneticPr fontId="1" type="noConversion"/>
  </si>
  <si>
    <t>설비2</t>
    <phoneticPr fontId="1" type="noConversion"/>
  </si>
  <si>
    <t>설비3</t>
    <phoneticPr fontId="1" type="noConversion"/>
  </si>
  <si>
    <t>설비4</t>
    <phoneticPr fontId="1" type="noConversion"/>
  </si>
  <si>
    <t>설비5</t>
    <phoneticPr fontId="1" type="noConversion"/>
  </si>
  <si>
    <t>설비6</t>
    <phoneticPr fontId="1" type="noConversion"/>
  </si>
  <si>
    <t>설비7</t>
    <phoneticPr fontId="1" type="noConversion"/>
  </si>
  <si>
    <t>설비8</t>
    <phoneticPr fontId="1" type="noConversion"/>
  </si>
  <si>
    <t>설비9</t>
    <phoneticPr fontId="1" type="noConversion"/>
  </si>
  <si>
    <t>설비10</t>
    <phoneticPr fontId="1" type="noConversion"/>
  </si>
  <si>
    <t>환경보건</t>
    <phoneticPr fontId="1" type="noConversion"/>
  </si>
  <si>
    <t>배</t>
    <phoneticPr fontId="1" type="noConversion"/>
  </si>
  <si>
    <t>대기오염</t>
    <phoneticPr fontId="1" type="noConversion"/>
  </si>
  <si>
    <t>기타시설</t>
    <phoneticPr fontId="1" type="noConversion"/>
  </si>
  <si>
    <t>최대값</t>
    <phoneticPr fontId="1" type="noConversion"/>
  </si>
  <si>
    <t>변화량</t>
    <phoneticPr fontId="1" type="noConversion"/>
  </si>
  <si>
    <t>기존</t>
    <phoneticPr fontId="1" type="noConversion"/>
  </si>
  <si>
    <t>사업후</t>
    <phoneticPr fontId="1" type="noConversion"/>
  </si>
  <si>
    <t>단위</t>
    <phoneticPr fontId="1" type="noConversion"/>
  </si>
  <si>
    <t>개선비율</t>
    <phoneticPr fontId="1" type="noConversion"/>
  </si>
  <si>
    <t>정부지원금 비율</t>
    <phoneticPr fontId="1" type="noConversion"/>
  </si>
  <si>
    <t>민간부담금 비율</t>
    <phoneticPr fontId="1" type="noConversion"/>
  </si>
  <si>
    <t>tCO2eq/년</t>
    <phoneticPr fontId="1" type="noConversion"/>
  </si>
  <si>
    <t>천원/년</t>
    <phoneticPr fontId="1" type="noConversion"/>
  </si>
  <si>
    <t>ppm</t>
    <phoneticPr fontId="1" type="noConversion"/>
  </si>
  <si>
    <t>ton/년</t>
    <phoneticPr fontId="1" type="noConversion"/>
  </si>
  <si>
    <t>비목별 세목</t>
    <phoneticPr fontId="1" type="noConversion"/>
  </si>
  <si>
    <t>자산취득비</t>
    <phoneticPr fontId="1" type="noConversion"/>
  </si>
  <si>
    <t>설계비</t>
    <phoneticPr fontId="1" type="noConversion"/>
  </si>
  <si>
    <t>시설비</t>
    <phoneticPr fontId="1" type="noConversion"/>
  </si>
  <si>
    <t>유형자산</t>
    <phoneticPr fontId="1" type="noConversion"/>
  </si>
  <si>
    <t>건설비</t>
    <phoneticPr fontId="1" type="noConversion"/>
  </si>
  <si>
    <t>설계비</t>
    <phoneticPr fontId="1" type="noConversion"/>
  </si>
  <si>
    <t>시설비</t>
    <phoneticPr fontId="1" type="noConversion"/>
  </si>
  <si>
    <t>-</t>
    <phoneticPr fontId="1" type="noConversion"/>
  </si>
  <si>
    <t>운영비</t>
    <phoneticPr fontId="1" type="noConversion"/>
  </si>
  <si>
    <t>일반용역비</t>
    <phoneticPr fontId="1" type="noConversion"/>
  </si>
  <si>
    <t>소계</t>
    <phoneticPr fontId="1" type="noConversion"/>
  </si>
  <si>
    <t>계</t>
    <phoneticPr fontId="1" type="noConversion"/>
  </si>
  <si>
    <t>일반수용비</t>
    <phoneticPr fontId="1" type="noConversion"/>
  </si>
  <si>
    <t>비목</t>
    <phoneticPr fontId="1" type="noConversion"/>
  </si>
  <si>
    <t>세목</t>
    <phoneticPr fontId="1" type="noConversion"/>
  </si>
  <si>
    <t>세부내역</t>
    <phoneticPr fontId="1" type="noConversion"/>
  </si>
  <si>
    <t>산출근거</t>
    <phoneticPr fontId="1" type="noConversion"/>
  </si>
  <si>
    <t>금액</t>
    <phoneticPr fontId="1" type="noConversion"/>
  </si>
  <si>
    <t>-</t>
    <phoneticPr fontId="1" type="noConversion"/>
  </si>
  <si>
    <t>최대값</t>
    <phoneticPr fontId="1" type="noConversion"/>
  </si>
  <si>
    <t>합계</t>
    <phoneticPr fontId="1" type="noConversion"/>
  </si>
  <si>
    <t>--</t>
    <phoneticPr fontId="1" type="noConversion"/>
  </si>
  <si>
    <t>2021년</t>
    <phoneticPr fontId="1" type="noConversion"/>
  </si>
  <si>
    <t>천원/년</t>
    <phoneticPr fontId="1" type="noConversion"/>
  </si>
  <si>
    <t>온실가스 저감</t>
    <phoneticPr fontId="1" type="noConversion"/>
  </si>
  <si>
    <t>ICT</t>
    <phoneticPr fontId="1" type="noConversion"/>
  </si>
  <si>
    <t>대기오염 저감</t>
    <phoneticPr fontId="1" type="noConversion"/>
  </si>
  <si>
    <t>수질오염 저감</t>
    <phoneticPr fontId="1" type="noConversion"/>
  </si>
  <si>
    <t>폐기물배출 저감</t>
    <phoneticPr fontId="1" type="noConversion"/>
  </si>
  <si>
    <t>자원순환</t>
    <phoneticPr fontId="1" type="noConversion"/>
  </si>
  <si>
    <t>환경보건</t>
    <phoneticPr fontId="1" type="noConversion"/>
  </si>
  <si>
    <r>
      <rPr>
        <b/>
        <u/>
        <sz val="11"/>
        <color rgb="FF0000FF"/>
        <rFont val="맑은 고딕"/>
        <family val="3"/>
        <charset val="129"/>
        <scheme val="minor"/>
      </rPr>
      <t>제1장</t>
    </r>
    <r>
      <rPr>
        <u/>
        <sz val="11"/>
        <color rgb="FF0000FF"/>
        <rFont val="맑은 고딕"/>
        <family val="3"/>
        <charset val="129"/>
        <scheme val="minor"/>
      </rPr>
      <t xml:space="preserve"> 신청기업 일반현황</t>
    </r>
    <phoneticPr fontId="1" type="noConversion"/>
  </si>
  <si>
    <r>
      <rPr>
        <b/>
        <u/>
        <sz val="11"/>
        <color rgb="FF0000FF"/>
        <rFont val="맑은 고딕"/>
        <family val="3"/>
        <charset val="129"/>
        <scheme val="minor"/>
      </rPr>
      <t>제2장</t>
    </r>
    <r>
      <rPr>
        <u/>
        <sz val="11"/>
        <color rgb="FF0000FF"/>
        <rFont val="맑은 고딕"/>
        <family val="2"/>
        <charset val="129"/>
        <scheme val="minor"/>
      </rPr>
      <t xml:space="preserve"> 사업 추진 내용</t>
    </r>
    <phoneticPr fontId="1" type="noConversion"/>
  </si>
  <si>
    <r>
      <t xml:space="preserve">작성Tip. 사업계획서(4장)
1. </t>
    </r>
    <r>
      <rPr>
        <sz val="11"/>
        <color rgb="FF0000FF"/>
        <rFont val="맑은 고딕"/>
        <family val="3"/>
        <charset val="129"/>
        <scheme val="minor"/>
      </rPr>
      <t>노란색</t>
    </r>
    <r>
      <rPr>
        <sz val="11"/>
        <color rgb="FF0000FF"/>
        <rFont val="맑은 고딕"/>
        <family val="2"/>
        <charset val="129"/>
        <scheme val="minor"/>
      </rPr>
      <t xml:space="preserve"> 셀은 빠짐없이 입력해주시고 세목의 경우 설비별 해당 세목을 선택하여 주시기 바랍니다.</t>
    </r>
    <r>
      <rPr>
        <sz val="11"/>
        <color rgb="FF0000FF"/>
        <rFont val="맑은 고딕"/>
        <family val="3"/>
        <charset val="129"/>
        <scheme val="minor"/>
      </rPr>
      <t xml:space="preserve">
2. 산출근거의 경우 간단히 텍스트로 입력하시기 바랍니다. 별도 내용이 없을경우 하이픈(-)을 입력하시기 바랍니다. 하이픈을 입력하지 않을경우 "0"으로 출력됩니다.
3. 금액은 천원단위로 정확하게 입력하시기 바랍니다.
4. 운영비 중 파란색 셀은 일반용역비, 분홍색 셀은 일반수용비로 해당 세목에 맞는 내역을 작성해주시기 바랍니다. </t>
    </r>
    <phoneticPr fontId="1" type="noConversion"/>
  </si>
  <si>
    <t>사업비 
일치여부</t>
    <phoneticPr fontId="1" type="noConversion"/>
  </si>
  <si>
    <r>
      <rPr>
        <b/>
        <u/>
        <sz val="11"/>
        <color rgb="FF0000FF"/>
        <rFont val="맑은 고딕"/>
        <family val="3"/>
        <charset val="129"/>
        <scheme val="minor"/>
      </rPr>
      <t>제3장</t>
    </r>
    <r>
      <rPr>
        <u/>
        <sz val="11"/>
        <color rgb="FF0000FF"/>
        <rFont val="맑은 고딕"/>
        <family val="3"/>
        <charset val="129"/>
        <scheme val="minor"/>
      </rPr>
      <t xml:space="preserve"> 예상 효과</t>
    </r>
    <phoneticPr fontId="1" type="noConversion"/>
  </si>
  <si>
    <r>
      <rPr>
        <b/>
        <u/>
        <sz val="11"/>
        <color rgb="FF0000FF"/>
        <rFont val="맑은 고딕"/>
        <family val="3"/>
        <charset val="129"/>
        <scheme val="minor"/>
      </rPr>
      <t>제4장</t>
    </r>
    <r>
      <rPr>
        <u/>
        <sz val="11"/>
        <color rgb="FF0000FF"/>
        <rFont val="맑은 고딕"/>
        <family val="3"/>
        <charset val="129"/>
        <scheme val="minor"/>
      </rPr>
      <t xml:space="preserve"> 사업비 사용계획 등</t>
    </r>
    <phoneticPr fontId="1" type="noConversion"/>
  </si>
  <si>
    <t>사업자등록번호</t>
    <phoneticPr fontId="1" type="noConversion"/>
  </si>
  <si>
    <t>시/도</t>
    <phoneticPr fontId="1" type="noConversion"/>
  </si>
  <si>
    <t>부산광역시</t>
  </si>
  <si>
    <t>대구광역시</t>
  </si>
  <si>
    <t>인천광역시</t>
  </si>
  <si>
    <t>광주광역시</t>
  </si>
  <si>
    <t>대전광역시</t>
  </si>
  <si>
    <t>울산광역시</t>
  </si>
  <si>
    <t>세종특별자치시</t>
  </si>
  <si>
    <t>경기도</t>
  </si>
  <si>
    <t>충청북도</t>
  </si>
  <si>
    <t>충청남도</t>
  </si>
  <si>
    <t>전라북도</t>
  </si>
  <si>
    <t>전라남도</t>
  </si>
  <si>
    <t>경상북도</t>
  </si>
  <si>
    <t>경상남도</t>
  </si>
  <si>
    <t>제주특별자치도</t>
  </si>
  <si>
    <t>강원특별자치도</t>
  </si>
  <si>
    <t>시/군/구</t>
    <phoneticPr fontId="1" type="noConversion"/>
  </si>
  <si>
    <t>서울특별시</t>
    <phoneticPr fontId="1" type="noConversion"/>
  </si>
  <si>
    <t>종로구</t>
  </si>
  <si>
    <t>중구</t>
  </si>
  <si>
    <t>용산구</t>
  </si>
  <si>
    <t>성동구</t>
  </si>
  <si>
    <t>광진구</t>
  </si>
  <si>
    <t>동대문구</t>
  </si>
  <si>
    <t>중랑구</t>
  </si>
  <si>
    <t>성북구</t>
  </si>
  <si>
    <t>강북구</t>
  </si>
  <si>
    <t>도봉구</t>
  </si>
  <si>
    <t>노원구</t>
  </si>
  <si>
    <t>은평구</t>
  </si>
  <si>
    <t>서대문구</t>
  </si>
  <si>
    <t>마포구</t>
  </si>
  <si>
    <t>양천구</t>
  </si>
  <si>
    <t>강서구</t>
  </si>
  <si>
    <t>구로구</t>
  </si>
  <si>
    <t>금천구</t>
  </si>
  <si>
    <t>영등포구</t>
  </si>
  <si>
    <t>동작구</t>
  </si>
  <si>
    <t>관악구</t>
  </si>
  <si>
    <t>서초구</t>
  </si>
  <si>
    <t>강남구</t>
  </si>
  <si>
    <t>송파구</t>
  </si>
  <si>
    <t>강동구</t>
  </si>
  <si>
    <t>춘천시</t>
  </si>
  <si>
    <t>원주시</t>
  </si>
  <si>
    <t>강릉시</t>
  </si>
  <si>
    <t>동해시</t>
  </si>
  <si>
    <t>태백시</t>
  </si>
  <si>
    <t>속초시</t>
  </si>
  <si>
    <t>삼척시</t>
  </si>
  <si>
    <t>홍천군</t>
  </si>
  <si>
    <t>횡성군</t>
  </si>
  <si>
    <t>영월군</t>
  </si>
  <si>
    <t>평창군</t>
  </si>
  <si>
    <t>정선군</t>
  </si>
  <si>
    <t>철원군</t>
  </si>
  <si>
    <t>화천군</t>
  </si>
  <si>
    <t>양구군</t>
  </si>
  <si>
    <t>인제군</t>
  </si>
  <si>
    <t>고성군</t>
  </si>
  <si>
    <t>양양군</t>
  </si>
  <si>
    <t>수원시</t>
  </si>
  <si>
    <t>성남시</t>
  </si>
  <si>
    <t>의정부시</t>
  </si>
  <si>
    <t>안양시</t>
  </si>
  <si>
    <t>부천시</t>
  </si>
  <si>
    <t>광명시</t>
  </si>
  <si>
    <t>평택시</t>
  </si>
  <si>
    <t>동두천시</t>
  </si>
  <si>
    <t>안산시</t>
  </si>
  <si>
    <t>고양시</t>
  </si>
  <si>
    <t>과천시</t>
  </si>
  <si>
    <t>구리시</t>
  </si>
  <si>
    <t>남양주시</t>
  </si>
  <si>
    <t>오산시</t>
  </si>
  <si>
    <t>시흥시</t>
  </si>
  <si>
    <t>군포시</t>
  </si>
  <si>
    <t>의왕시</t>
  </si>
  <si>
    <t>하남시</t>
  </si>
  <si>
    <t>용인시</t>
  </si>
  <si>
    <t>파주시</t>
  </si>
  <si>
    <t>이천시</t>
  </si>
  <si>
    <t>안성시</t>
  </si>
  <si>
    <t>김포시</t>
  </si>
  <si>
    <t>화성시</t>
  </si>
  <si>
    <t>광주시</t>
  </si>
  <si>
    <t>양주시</t>
  </si>
  <si>
    <t>포천시</t>
  </si>
  <si>
    <t>여주시</t>
  </si>
  <si>
    <t>연천군</t>
  </si>
  <si>
    <t>가평군</t>
  </si>
  <si>
    <t>양평군</t>
  </si>
  <si>
    <t>창원시</t>
  </si>
  <si>
    <t>진주시</t>
  </si>
  <si>
    <t>통영시</t>
  </si>
  <si>
    <t>사천시</t>
  </si>
  <si>
    <t>김해시</t>
  </si>
  <si>
    <t>밀양시</t>
  </si>
  <si>
    <t>거제시</t>
  </si>
  <si>
    <t>양산시</t>
  </si>
  <si>
    <t>의령군</t>
  </si>
  <si>
    <t>함안군</t>
  </si>
  <si>
    <t>창녕군</t>
  </si>
  <si>
    <t>남해군</t>
  </si>
  <si>
    <t>하동군</t>
  </si>
  <si>
    <t>산청군</t>
  </si>
  <si>
    <t>함양군</t>
  </si>
  <si>
    <t>거창군</t>
  </si>
  <si>
    <t>합천군</t>
  </si>
  <si>
    <t>포항시</t>
  </si>
  <si>
    <t>경주시</t>
  </si>
  <si>
    <t>김천시</t>
  </si>
  <si>
    <t>안동시</t>
  </si>
  <si>
    <t>구미시</t>
  </si>
  <si>
    <t>영주시</t>
  </si>
  <si>
    <t>영천시</t>
  </si>
  <si>
    <t>상주시</t>
  </si>
  <si>
    <t>문경시</t>
  </si>
  <si>
    <t>경산시</t>
  </si>
  <si>
    <t>의성군</t>
  </si>
  <si>
    <t>청송군</t>
  </si>
  <si>
    <t>영양군</t>
  </si>
  <si>
    <t>영덕군</t>
  </si>
  <si>
    <t>청도군</t>
  </si>
  <si>
    <t>고령군</t>
  </si>
  <si>
    <t>성주군</t>
  </si>
  <si>
    <t>칠곡군</t>
  </si>
  <si>
    <t>예천군</t>
  </si>
  <si>
    <t>봉화군</t>
  </si>
  <si>
    <t>울진군</t>
  </si>
  <si>
    <t>울릉군</t>
  </si>
  <si>
    <t>동구</t>
  </si>
  <si>
    <t>서구</t>
  </si>
  <si>
    <t>남구</t>
  </si>
  <si>
    <t>북구</t>
  </si>
  <si>
    <t>광산구</t>
  </si>
  <si>
    <t>수성구</t>
  </si>
  <si>
    <t>달서구</t>
  </si>
  <si>
    <t>달성군</t>
  </si>
  <si>
    <t>군위군</t>
  </si>
  <si>
    <t>유성구</t>
  </si>
  <si>
    <t>대덕구</t>
  </si>
  <si>
    <t>영도구</t>
  </si>
  <si>
    <t>부산진구</t>
  </si>
  <si>
    <t>동래구</t>
  </si>
  <si>
    <t>해운대구</t>
  </si>
  <si>
    <t>사하구</t>
  </si>
  <si>
    <t>금정구</t>
  </si>
  <si>
    <t>연제구</t>
  </si>
  <si>
    <t>수영구</t>
  </si>
  <si>
    <t>사상구</t>
  </si>
  <si>
    <t>기장군</t>
  </si>
  <si>
    <t>울주군</t>
  </si>
  <si>
    <t>미추홀구</t>
  </si>
  <si>
    <t>연수구</t>
  </si>
  <si>
    <t>남동구</t>
  </si>
  <si>
    <t>부평구</t>
  </si>
  <si>
    <t>계양구</t>
  </si>
  <si>
    <t>강화군</t>
  </si>
  <si>
    <t>옹진군</t>
  </si>
  <si>
    <t>목포시</t>
  </si>
  <si>
    <t>여수시</t>
  </si>
  <si>
    <t>순천시</t>
  </si>
  <si>
    <t>나주시</t>
  </si>
  <si>
    <t>광양시</t>
  </si>
  <si>
    <t>담양군</t>
  </si>
  <si>
    <t>곡성군</t>
  </si>
  <si>
    <t>구례군</t>
  </si>
  <si>
    <t>고흥군</t>
  </si>
  <si>
    <t>보성군</t>
  </si>
  <si>
    <t>화순군</t>
  </si>
  <si>
    <t>장흥군</t>
  </si>
  <si>
    <t>강진군</t>
  </si>
  <si>
    <t>해남군</t>
  </si>
  <si>
    <t>영암군</t>
  </si>
  <si>
    <t>무안군</t>
  </si>
  <si>
    <t>함평군</t>
  </si>
  <si>
    <t>영광군</t>
  </si>
  <si>
    <t>장성군</t>
  </si>
  <si>
    <t>완도군</t>
  </si>
  <si>
    <t>진도군</t>
  </si>
  <si>
    <t>신안군</t>
  </si>
  <si>
    <t>전주시</t>
  </si>
  <si>
    <t>군산시</t>
  </si>
  <si>
    <t>익산시</t>
  </si>
  <si>
    <t>정읍시</t>
  </si>
  <si>
    <t>남원시</t>
  </si>
  <si>
    <t>김제시</t>
  </si>
  <si>
    <t>완주군</t>
  </si>
  <si>
    <t>진안군</t>
  </si>
  <si>
    <t>무주군</t>
  </si>
  <si>
    <t>장수군</t>
  </si>
  <si>
    <t>임실군</t>
  </si>
  <si>
    <t>순창군</t>
  </si>
  <si>
    <t>고창군</t>
  </si>
  <si>
    <t>부안군</t>
  </si>
  <si>
    <t>서귀포시</t>
    <phoneticPr fontId="1" type="noConversion"/>
  </si>
  <si>
    <t>제주시</t>
    <phoneticPr fontId="1" type="noConversion"/>
  </si>
  <si>
    <t>천안시</t>
  </si>
  <si>
    <t>공주시</t>
  </si>
  <si>
    <t>보령시</t>
  </si>
  <si>
    <t>아산시</t>
  </si>
  <si>
    <t>서산시</t>
  </si>
  <si>
    <t>논산시</t>
  </si>
  <si>
    <t>계룡시</t>
  </si>
  <si>
    <t>당진시</t>
  </si>
  <si>
    <t>금산군</t>
  </si>
  <si>
    <t>부여군</t>
  </si>
  <si>
    <t>서천군</t>
  </si>
  <si>
    <t>청양군</t>
  </si>
  <si>
    <t>홍성군</t>
  </si>
  <si>
    <t>예산군</t>
  </si>
  <si>
    <t>태안군</t>
  </si>
  <si>
    <t>청주시</t>
  </si>
  <si>
    <t>충주시</t>
  </si>
  <si>
    <t>제천시</t>
  </si>
  <si>
    <t>보은군</t>
  </si>
  <si>
    <t>옥천군</t>
  </si>
  <si>
    <t>영동군</t>
  </si>
  <si>
    <t>증평군</t>
  </si>
  <si>
    <t>진천군</t>
  </si>
  <si>
    <t>괴산군</t>
  </si>
  <si>
    <t>음성군</t>
  </si>
  <si>
    <t>단양군</t>
  </si>
  <si>
    <t>주소코드</t>
    <phoneticPr fontId="1" type="noConversion"/>
  </si>
  <si>
    <t>없음</t>
    <phoneticPr fontId="1" type="noConversion"/>
  </si>
  <si>
    <t>나머지주소</t>
    <phoneticPr fontId="1" type="noConversion"/>
  </si>
  <si>
    <t>업종</t>
    <phoneticPr fontId="1" type="noConversion"/>
  </si>
  <si>
    <t>우편번호</t>
    <phoneticPr fontId="1" type="noConversion"/>
  </si>
  <si>
    <t>업체명</t>
    <phoneticPr fontId="1" type="noConversion"/>
  </si>
  <si>
    <t>대표자명</t>
    <phoneticPr fontId="1" type="noConversion"/>
  </si>
  <si>
    <t>사업자등록번호</t>
    <phoneticPr fontId="1" type="noConversion"/>
  </si>
  <si>
    <t>전문분야</t>
    <phoneticPr fontId="1" type="noConversion"/>
  </si>
  <si>
    <t>담당자명</t>
    <phoneticPr fontId="1" type="noConversion"/>
  </si>
  <si>
    <t>부서/직책</t>
    <phoneticPr fontId="1" type="noConversion"/>
  </si>
  <si>
    <t>사업신청서</t>
    <phoneticPr fontId="1" type="noConversion"/>
  </si>
  <si>
    <t>법인등록번호</t>
    <phoneticPr fontId="1" type="noConversion"/>
  </si>
  <si>
    <t>주소(공장등록증 기준)</t>
    <phoneticPr fontId="1" type="noConversion"/>
  </si>
  <si>
    <t>수행책임자</t>
    <phoneticPr fontId="1" type="noConversion"/>
  </si>
  <si>
    <t>부서/직책</t>
    <phoneticPr fontId="1" type="noConversion"/>
  </si>
  <si>
    <t>이메일주소</t>
    <phoneticPr fontId="1" type="noConversion"/>
  </si>
  <si>
    <t>사무실 전화번호</t>
    <phoneticPr fontId="1" type="noConversion"/>
  </si>
  <si>
    <t>휴대전화</t>
    <phoneticPr fontId="1" type="noConversion"/>
  </si>
  <si>
    <t>설비수</t>
    <phoneticPr fontId="1" type="noConversion"/>
  </si>
  <si>
    <t>수량</t>
    <phoneticPr fontId="1" type="noConversion"/>
  </si>
  <si>
    <t>신청기업</t>
    <phoneticPr fontId="1" type="noConversion"/>
  </si>
  <si>
    <t>컨설팅기업</t>
    <phoneticPr fontId="1" type="noConversion"/>
  </si>
  <si>
    <t>업 종</t>
    <phoneticPr fontId="1" type="noConversion"/>
  </si>
  <si>
    <t>신
청
기
업</t>
    <phoneticPr fontId="1" type="noConversion"/>
  </si>
  <si>
    <t>업 체 명</t>
    <phoneticPr fontId="1" type="noConversion"/>
  </si>
  <si>
    <t>전문분야</t>
    <phoneticPr fontId="1" type="noConversion"/>
  </si>
  <si>
    <t>컨
설
팅
기
관</t>
    <phoneticPr fontId="1" type="noConversion"/>
  </si>
  <si>
    <t xml:space="preserve">                                                                                </t>
    <phoneticPr fontId="1" type="noConversion"/>
  </si>
  <si>
    <t>한 국 환 경 공 단 이 사 장 귀하</t>
    <phoneticPr fontId="1" type="noConversion"/>
  </si>
  <si>
    <t>신청일자</t>
    <phoneticPr fontId="1" type="noConversion"/>
  </si>
  <si>
    <t>스마트 생태공장 구축 사업
사업계획서</t>
    <phoneticPr fontId="1" type="noConversion"/>
  </si>
  <si>
    <t>신청기업</t>
    <phoneticPr fontId="1" type="noConversion"/>
  </si>
  <si>
    <t>부문</t>
  </si>
  <si>
    <t>항목</t>
  </si>
  <si>
    <t>산식</t>
  </si>
  <si>
    <t>에너지</t>
  </si>
  <si>
    <r>
      <t>○생산장비 등 시설 교체</t>
    </r>
    <r>
      <rPr>
        <sz val="11"/>
        <color rgb="FF000000"/>
        <rFont val="맑은 고딕"/>
        <family val="3"/>
        <charset val="129"/>
        <scheme val="minor"/>
      </rPr>
      <t xml:space="preserve">, </t>
    </r>
    <r>
      <rPr>
        <sz val="11"/>
        <color rgb="FF000000"/>
        <rFont val="함초롬바탕"/>
        <family val="1"/>
        <charset val="129"/>
      </rPr>
      <t>보수 등을 통한 효율</t>
    </r>
    <r>
      <rPr>
        <sz val="11"/>
        <color rgb="FF000000"/>
        <rFont val="맑은 고딕"/>
        <family val="3"/>
        <charset val="129"/>
        <scheme val="minor"/>
      </rPr>
      <t xml:space="preserve"> </t>
    </r>
    <r>
      <rPr>
        <sz val="11"/>
        <color rgb="FF000000"/>
        <rFont val="함초롬바탕"/>
        <family val="1"/>
        <charset val="129"/>
      </rPr>
      <t>개선</t>
    </r>
  </si>
  <si>
    <r>
      <t xml:space="preserve">· </t>
    </r>
    <r>
      <rPr>
        <sz val="11"/>
        <color rgb="FF000000"/>
        <rFont val="함초롬바탕"/>
        <family val="1"/>
        <charset val="129"/>
      </rPr>
      <t xml:space="preserve">에너지 절감량 </t>
    </r>
    <r>
      <rPr>
        <sz val="11"/>
        <color rgb="FF000000"/>
        <rFont val="맑은 고딕"/>
        <family val="3"/>
        <charset val="129"/>
        <scheme val="minor"/>
      </rPr>
      <t>×</t>
    </r>
    <r>
      <rPr>
        <sz val="11"/>
        <color rgb="FF000000"/>
        <rFont val="함초롬바탕"/>
        <family val="1"/>
        <charset val="129"/>
      </rPr>
      <t>에너지단가</t>
    </r>
  </si>
  <si>
    <r>
      <t xml:space="preserve">· </t>
    </r>
    <r>
      <rPr>
        <sz val="11"/>
        <color rgb="FF000000"/>
        <rFont val="함초롬바탕"/>
        <family val="1"/>
        <charset val="129"/>
      </rPr>
      <t xml:space="preserve">생산증가량 </t>
    </r>
    <r>
      <rPr>
        <sz val="11"/>
        <color rgb="FF000000"/>
        <rFont val="맑은 고딕"/>
        <family val="3"/>
        <charset val="129"/>
        <scheme val="minor"/>
      </rPr>
      <t xml:space="preserve">× </t>
    </r>
    <r>
      <rPr>
        <sz val="11"/>
        <color rgb="FF000000"/>
        <rFont val="함초롬바탕"/>
        <family val="1"/>
        <charset val="129"/>
      </rPr>
      <t>제품단가</t>
    </r>
  </si>
  <si>
    <r>
      <t>○고효율 생산 장비 도입을 통한 에너지 사용량</t>
    </r>
    <r>
      <rPr>
        <sz val="11"/>
        <color rgb="FF000000"/>
        <rFont val="맑은 고딕"/>
        <family val="3"/>
        <charset val="129"/>
        <scheme val="minor"/>
      </rPr>
      <t xml:space="preserve"> </t>
    </r>
    <r>
      <rPr>
        <sz val="11"/>
        <color rgb="FF000000"/>
        <rFont val="함초롬바탕"/>
        <family val="1"/>
        <charset val="129"/>
      </rPr>
      <t>절감</t>
    </r>
  </si>
  <si>
    <r>
      <t xml:space="preserve">· </t>
    </r>
    <r>
      <rPr>
        <sz val="11"/>
        <color rgb="FF000000"/>
        <rFont val="함초롬바탕"/>
        <family val="1"/>
        <charset val="129"/>
      </rPr>
      <t xml:space="preserve">개선된 가동횟수 </t>
    </r>
    <r>
      <rPr>
        <sz val="11"/>
        <color rgb="FF000000"/>
        <rFont val="맑은 고딕"/>
        <family val="3"/>
        <charset val="129"/>
        <scheme val="minor"/>
      </rPr>
      <t xml:space="preserve">× </t>
    </r>
    <r>
      <rPr>
        <sz val="11"/>
        <color rgb="FF000000"/>
        <rFont val="함초롬바탕"/>
        <family val="1"/>
        <charset val="129"/>
      </rPr>
      <t>횟수별 에너지 사용량</t>
    </r>
  </si>
  <si>
    <t>○생산설비 운전 조건 재설정을 통한 효율 개선</t>
  </si>
  <si>
    <r>
      <t xml:space="preserve">· </t>
    </r>
    <r>
      <rPr>
        <sz val="11"/>
        <color rgb="FF000000"/>
        <rFont val="함초롬바탕"/>
        <family val="1"/>
        <charset val="129"/>
      </rPr>
      <t xml:space="preserve">에너지 절감량 </t>
    </r>
    <r>
      <rPr>
        <sz val="11"/>
        <color rgb="FF000000"/>
        <rFont val="맑은 고딕"/>
        <family val="3"/>
        <charset val="129"/>
        <scheme val="minor"/>
      </rPr>
      <t xml:space="preserve">×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</si>
  <si>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○시설 운영방식 교체를 통한 효율 개선</t>
  </si>
  <si>
    <r>
      <t xml:space="preserve">· </t>
    </r>
    <r>
      <rPr>
        <sz val="11"/>
        <color rgb="FF000000"/>
        <rFont val="함초롬바탕"/>
        <family val="1"/>
        <charset val="129"/>
      </rPr>
      <t xml:space="preserve">절감 가동시간 </t>
    </r>
    <r>
      <rPr>
        <sz val="11"/>
        <color rgb="FF000000"/>
        <rFont val="맑은 고딕"/>
        <family val="3"/>
        <charset val="129"/>
        <scheme val="minor"/>
      </rPr>
      <t xml:space="preserve">× </t>
    </r>
    <r>
      <rPr>
        <sz val="11"/>
        <color rgb="FF000000"/>
        <rFont val="함초롬바탕"/>
        <family val="1"/>
        <charset val="129"/>
      </rPr>
      <t>시간당 에너지 사용량</t>
    </r>
  </si>
  <si>
    <t>○신재생에너지 설치를 통한 에너지 사용요금 절감</t>
  </si>
  <si>
    <r>
      <t xml:space="preserve">· </t>
    </r>
    <r>
      <rPr>
        <sz val="11"/>
        <color rgb="FF000000"/>
        <rFont val="함초롬바탕"/>
        <family val="1"/>
        <charset val="129"/>
      </rPr>
      <t xml:space="preserve">신재생에너지 발전량 </t>
    </r>
    <r>
      <rPr>
        <sz val="11"/>
        <color rgb="FF000000"/>
        <rFont val="맑은 고딕"/>
        <family val="3"/>
        <charset val="129"/>
        <scheme val="minor"/>
      </rPr>
      <t xml:space="preserve">×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</si>
  <si>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○건축물 개선을 통한 냉난방 에너지 효율 개선</t>
  </si>
  <si>
    <r>
      <t>· (</t>
    </r>
    <r>
      <rPr>
        <sz val="11"/>
        <color rgb="FF000000"/>
        <rFont val="함초롬바탕"/>
        <family val="1"/>
        <charset val="129"/>
      </rPr>
      <t>개선 전 – 개선 후 에너지 사용량</t>
    </r>
    <r>
      <rPr>
        <sz val="11"/>
        <color rgb="FF000000"/>
        <rFont val="맑은 고딕"/>
        <family val="3"/>
        <charset val="129"/>
        <scheme val="minor"/>
      </rPr>
      <t xml:space="preserve">) ×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</si>
  <si>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○보일러 등에서의 고온 응축수 재활용을 통한 에너지 절감</t>
  </si>
  <si>
    <r>
      <t>· (</t>
    </r>
    <r>
      <rPr>
        <sz val="11"/>
        <color rgb="FF000000"/>
        <rFont val="함초롬바탕"/>
        <family val="1"/>
        <charset val="129"/>
      </rPr>
      <t>개선 전 – 개선 후 응축수 재사용량</t>
    </r>
    <r>
      <rPr>
        <sz val="11"/>
        <color rgb="FF000000"/>
        <rFont val="맑은 고딕"/>
        <family val="3"/>
        <charset val="129"/>
        <scheme val="minor"/>
      </rPr>
      <t xml:space="preserve">) × </t>
    </r>
    <r>
      <rPr>
        <sz val="11"/>
        <color rgb="FF000000"/>
        <rFont val="함초롬바탕"/>
        <family val="1"/>
        <charset val="129"/>
      </rPr>
      <t>에너지 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</si>
  <si>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t>○폐열 재활용을 통한 에너지 절감</t>
  </si>
  <si>
    <r>
      <t>· (</t>
    </r>
    <r>
      <rPr>
        <sz val="11"/>
        <color rgb="FF000000"/>
        <rFont val="함초롬바탕"/>
        <family val="1"/>
        <charset val="129"/>
      </rPr>
      <t>개선 전 – 개선 후 폐열 사용량</t>
    </r>
    <r>
      <rPr>
        <sz val="11"/>
        <color rgb="FF000000"/>
        <rFont val="맑은 고딕"/>
        <family val="3"/>
        <charset val="129"/>
        <scheme val="minor"/>
      </rPr>
      <t xml:space="preserve">) × </t>
    </r>
    <r>
      <rPr>
        <sz val="11"/>
        <color rgb="FF000000"/>
        <rFont val="함초롬바탕"/>
        <family val="1"/>
        <charset val="129"/>
      </rPr>
      <t>에너지</t>
    </r>
    <r>
      <rPr>
        <sz val="11"/>
        <color rgb="FF000000"/>
        <rFont val="맑은 고딕"/>
        <family val="3"/>
        <charset val="129"/>
        <scheme val="minor"/>
      </rPr>
      <t xml:space="preserve"> </t>
    </r>
    <r>
      <rPr>
        <sz val="11"/>
        <color rgb="FF000000"/>
        <rFont val="함초롬바탕"/>
        <family val="1"/>
        <charset val="129"/>
      </rPr>
      <t>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</si>
  <si>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r>
      <t>○피크전력 회피에 따른 가동에너지 저감에 따른</t>
    </r>
    <r>
      <rPr>
        <sz val="11"/>
        <color rgb="FF000000"/>
        <rFont val="맑은 고딕"/>
        <family val="3"/>
        <charset val="129"/>
        <scheme val="minor"/>
      </rPr>
      <t xml:space="preserve"> </t>
    </r>
    <r>
      <rPr>
        <sz val="11"/>
        <color rgb="FF000000"/>
        <rFont val="함초롬바탕"/>
        <family val="1"/>
        <charset val="129"/>
      </rPr>
      <t>비용 절감</t>
    </r>
  </si>
  <si>
    <r>
      <t>· (</t>
    </r>
    <r>
      <rPr>
        <sz val="11"/>
        <color rgb="FF000000"/>
        <rFont val="함초롬바탕"/>
        <family val="1"/>
        <charset val="129"/>
      </rPr>
      <t>개선 전 – 개선 후 피크 전력량</t>
    </r>
    <r>
      <rPr>
        <sz val="11"/>
        <color rgb="FF000000"/>
        <rFont val="맑은 고딕"/>
        <family val="3"/>
        <charset val="129"/>
        <scheme val="minor"/>
      </rPr>
      <t xml:space="preserve">) × </t>
    </r>
    <r>
      <rPr>
        <sz val="11"/>
        <color rgb="FF000000"/>
        <rFont val="함초롬바탕"/>
        <family val="1"/>
        <charset val="129"/>
      </rPr>
      <t>에너지</t>
    </r>
    <r>
      <rPr>
        <sz val="11"/>
        <color rgb="FF000000"/>
        <rFont val="맑은 고딕"/>
        <family val="3"/>
        <charset val="129"/>
        <scheme val="minor"/>
      </rPr>
      <t xml:space="preserve"> </t>
    </r>
    <r>
      <rPr>
        <sz val="11"/>
        <color rgb="FF000000"/>
        <rFont val="함초롬바탕"/>
        <family val="1"/>
        <charset val="129"/>
      </rPr>
      <t>단가</t>
    </r>
    <r>
      <rPr>
        <sz val="11"/>
        <color rgb="FF000000"/>
        <rFont val="맑은 고딕"/>
        <family val="3"/>
        <charset val="129"/>
        <scheme val="minor"/>
      </rPr>
      <t>(</t>
    </r>
    <r>
      <rPr>
        <sz val="11"/>
        <color rgb="FF000000"/>
        <rFont val="함초롬바탕"/>
        <family val="1"/>
        <charset val="129"/>
      </rPr>
      <t>전력</t>
    </r>
    <r>
      <rPr>
        <sz val="11"/>
        <color rgb="FF000000"/>
        <rFont val="맑은 고딕"/>
        <family val="3"/>
        <charset val="129"/>
        <scheme val="minor"/>
      </rPr>
      <t>)</t>
    </r>
  </si>
  <si>
    <r>
      <t>○친환경 비닐</t>
    </r>
    <r>
      <rPr>
        <sz val="11"/>
        <color rgb="FF000000"/>
        <rFont val="맑은 고딕"/>
        <family val="3"/>
        <charset val="129"/>
        <scheme val="minor"/>
      </rPr>
      <t xml:space="preserve">, </t>
    </r>
    <r>
      <rPr>
        <sz val="11"/>
        <color rgb="FF000000"/>
        <rFont val="함초롬바탕"/>
        <family val="1"/>
        <charset val="129"/>
      </rPr>
      <t>플라스틱 소재 사용으로 폐플라스틱 소각 폐기물 저감에 따른 온실가스 저감</t>
    </r>
  </si>
  <si>
    <r>
      <t>· (</t>
    </r>
    <r>
      <rPr>
        <sz val="11"/>
        <color rgb="FF000000"/>
        <rFont val="함초롬바탕"/>
        <family val="1"/>
        <charset val="129"/>
      </rPr>
      <t>개선 전 – 개선 후 친환경재료 량</t>
    </r>
    <r>
      <rPr>
        <sz val="11"/>
        <color rgb="FF000000"/>
        <rFont val="맑은 고딕"/>
        <family val="3"/>
        <charset val="129"/>
        <scheme val="minor"/>
      </rPr>
      <t xml:space="preserve">) × </t>
    </r>
    <r>
      <rPr>
        <sz val="11"/>
        <color rgb="FF000000"/>
        <rFont val="함초롬바탕"/>
        <family val="1"/>
        <charset val="129"/>
      </rPr>
      <t>온실가스 배출계수</t>
    </r>
  </si>
  <si>
    <t>○냉동기 친환경 냉매 사용으로 온실가스 저감</t>
  </si>
  <si>
    <r>
      <t>· (</t>
    </r>
    <r>
      <rPr>
        <sz val="11"/>
        <color rgb="FF000000"/>
        <rFont val="함초롬바탕"/>
        <family val="1"/>
        <charset val="129"/>
      </rPr>
      <t>개선 전 – 개선 후 친환경냉매 량</t>
    </r>
    <r>
      <rPr>
        <sz val="11"/>
        <color rgb="FF000000"/>
        <rFont val="맑은 고딕"/>
        <family val="3"/>
        <charset val="129"/>
        <scheme val="minor"/>
      </rPr>
      <t xml:space="preserve">) × </t>
    </r>
    <r>
      <rPr>
        <sz val="11"/>
        <color rgb="FF000000"/>
        <rFont val="함초롬바탕"/>
        <family val="1"/>
        <charset val="129"/>
      </rPr>
      <t>온실가스 배출계수</t>
    </r>
  </si>
  <si>
    <r>
      <t>○전기 공급방식 개선</t>
    </r>
    <r>
      <rPr>
        <sz val="11"/>
        <color rgb="FF000000"/>
        <rFont val="맑은 고딕"/>
        <family val="3"/>
        <charset val="129"/>
        <scheme val="minor"/>
      </rPr>
      <t xml:space="preserve">, </t>
    </r>
    <r>
      <rPr>
        <sz val="11"/>
        <color rgb="FF000000"/>
        <rFont val="함초롬바탕"/>
        <family val="1"/>
        <charset val="129"/>
      </rPr>
      <t>변압기 교체 등을 통한 효율 개선</t>
    </r>
  </si>
  <si>
    <t>대기</t>
  </si>
  <si>
    <t>○대기 중 비산되는 원재료 포집 효율 개선</t>
  </si>
  <si>
    <r>
      <t xml:space="preserve">· </t>
    </r>
    <r>
      <rPr>
        <sz val="11"/>
        <color rgb="FF000000"/>
        <rFont val="함초롬바탕"/>
        <family val="1"/>
        <charset val="129"/>
      </rPr>
      <t xml:space="preserve">원재료 포집 개선량 </t>
    </r>
    <r>
      <rPr>
        <sz val="11"/>
        <color rgb="FF000000"/>
        <rFont val="맑은 고딕"/>
        <family val="3"/>
        <charset val="129"/>
        <scheme val="minor"/>
      </rPr>
      <t xml:space="preserve">× </t>
    </r>
    <r>
      <rPr>
        <sz val="11"/>
        <color rgb="FF000000"/>
        <rFont val="함초롬바탕"/>
        <family val="1"/>
        <charset val="129"/>
      </rPr>
      <t>원재료 단가</t>
    </r>
  </si>
  <si>
    <t>○집진기 필터재질 교체를 통한 필터 구매비용 절감</t>
  </si>
  <si>
    <r>
      <t xml:space="preserve">· </t>
    </r>
    <r>
      <rPr>
        <sz val="11"/>
        <color rgb="FF000000"/>
        <rFont val="함초롬바탕"/>
        <family val="1"/>
        <charset val="129"/>
      </rPr>
      <t>집진기 필터 구매 절감 비용</t>
    </r>
  </si>
  <si>
    <t>○불꽃감지 센서 장착의 덕트 적용으로 화재 예방</t>
  </si>
  <si>
    <r>
      <t xml:space="preserve">· </t>
    </r>
    <r>
      <rPr>
        <sz val="11"/>
        <color rgb="FF000000"/>
        <rFont val="함초롬바탕"/>
        <family val="1"/>
        <charset val="129"/>
      </rPr>
      <t>화재 방지에 따른 손실예방 금액</t>
    </r>
  </si>
  <si>
    <r>
      <t>○집진기 사전 유증기 덕트로 집진기 기능 수명</t>
    </r>
    <r>
      <rPr>
        <sz val="11"/>
        <color rgb="FF000000"/>
        <rFont val="맑은 고딕"/>
        <family val="3"/>
        <charset val="129"/>
        <scheme val="minor"/>
      </rPr>
      <t xml:space="preserve"> </t>
    </r>
    <r>
      <rPr>
        <sz val="11"/>
        <color rgb="FF000000"/>
        <rFont val="함초롬바탕"/>
        <family val="1"/>
        <charset val="129"/>
      </rPr>
      <t>연장</t>
    </r>
  </si>
  <si>
    <r>
      <t xml:space="preserve">· </t>
    </r>
    <r>
      <rPr>
        <sz val="11"/>
        <color rgb="FF000000"/>
        <rFont val="함초롬바탕"/>
        <family val="1"/>
        <charset val="129"/>
      </rPr>
      <t>집진기 청소 등 비용 절감</t>
    </r>
  </si>
  <si>
    <t>수질</t>
  </si>
  <si>
    <t>○용수 재이용 시설 설치 등을 통한 물 사용량 저감</t>
  </si>
  <si>
    <r>
      <t xml:space="preserve">· </t>
    </r>
    <r>
      <rPr>
        <sz val="11"/>
        <color rgb="FF000000"/>
        <rFont val="함초롬바탕"/>
        <family val="1"/>
        <charset val="129"/>
      </rPr>
      <t xml:space="preserve">물 절감량 </t>
    </r>
    <r>
      <rPr>
        <sz val="11"/>
        <color rgb="FF000000"/>
        <rFont val="맑은 고딕"/>
        <family val="3"/>
        <charset val="129"/>
        <scheme val="minor"/>
      </rPr>
      <t xml:space="preserve">× </t>
    </r>
    <r>
      <rPr>
        <sz val="11"/>
        <color rgb="FF000000"/>
        <rFont val="함초롬바탕"/>
        <family val="1"/>
        <charset val="129"/>
      </rPr>
      <t>용수 단가</t>
    </r>
  </si>
  <si>
    <r>
      <t>○용수 포집 시설</t>
    </r>
    <r>
      <rPr>
        <sz val="11"/>
        <color rgb="FF000000"/>
        <rFont val="맑은 고딕"/>
        <family val="3"/>
        <charset val="129"/>
        <scheme val="minor"/>
      </rPr>
      <t>(</t>
    </r>
    <r>
      <rPr>
        <sz val="11"/>
        <color rgb="FF000000"/>
        <rFont val="함초롬바탕"/>
        <family val="1"/>
        <charset val="129"/>
      </rPr>
      <t>빗물재용시설 등</t>
    </r>
    <r>
      <rPr>
        <sz val="11"/>
        <color rgb="FF000000"/>
        <rFont val="맑은 고딕"/>
        <family val="3"/>
        <charset val="129"/>
        <scheme val="minor"/>
      </rPr>
      <t xml:space="preserve">) </t>
    </r>
    <r>
      <rPr>
        <sz val="11"/>
        <color rgb="FF000000"/>
        <rFont val="함초롬바탕"/>
        <family val="1"/>
        <charset val="129"/>
      </rPr>
      <t xml:space="preserve">설치 등을 통한 용수 재이용 </t>
    </r>
  </si>
  <si>
    <r>
      <t xml:space="preserve">· </t>
    </r>
    <r>
      <rPr>
        <sz val="11"/>
        <color rgb="FF000000"/>
        <rFont val="함초롬바탕"/>
        <family val="1"/>
        <charset val="129"/>
      </rPr>
      <t xml:space="preserve">용수 재이용량 </t>
    </r>
    <r>
      <rPr>
        <sz val="11"/>
        <color rgb="FF000000"/>
        <rFont val="맑은 고딕"/>
        <family val="3"/>
        <charset val="129"/>
        <scheme val="minor"/>
      </rPr>
      <t xml:space="preserve">× </t>
    </r>
    <r>
      <rPr>
        <sz val="11"/>
        <color rgb="FF000000"/>
        <rFont val="함초롬바탕"/>
        <family val="1"/>
        <charset val="129"/>
      </rPr>
      <t>용수 단가</t>
    </r>
  </si>
  <si>
    <r>
      <t>○장비 용수 재활용 시스템 설치 등을 통한 폐수</t>
    </r>
    <r>
      <rPr>
        <sz val="11"/>
        <color rgb="FF000000"/>
        <rFont val="맑은 고딕"/>
        <family val="3"/>
        <charset val="129"/>
        <scheme val="minor"/>
      </rPr>
      <t xml:space="preserve"> </t>
    </r>
    <r>
      <rPr>
        <sz val="11"/>
        <color rgb="FF000000"/>
        <rFont val="함초롬바탕"/>
        <family val="1"/>
        <charset val="129"/>
      </rPr>
      <t>발생량 저감</t>
    </r>
  </si>
  <si>
    <r>
      <t xml:space="preserve">· </t>
    </r>
    <r>
      <rPr>
        <sz val="11"/>
        <color rgb="FF000000"/>
        <rFont val="함초롬바탕"/>
        <family val="1"/>
        <charset val="129"/>
      </rPr>
      <t xml:space="preserve">용수 재활용량 </t>
    </r>
    <r>
      <rPr>
        <sz val="11"/>
        <color rgb="FF000000"/>
        <rFont val="맑은 고딕"/>
        <family val="3"/>
        <charset val="129"/>
        <scheme val="minor"/>
      </rPr>
      <t xml:space="preserve">× </t>
    </r>
    <r>
      <rPr>
        <sz val="11"/>
        <color rgb="FF000000"/>
        <rFont val="함초롬바탕"/>
        <family val="1"/>
        <charset val="129"/>
      </rPr>
      <t>용수 단가</t>
    </r>
  </si>
  <si>
    <r>
      <t xml:space="preserve">· </t>
    </r>
    <r>
      <rPr>
        <sz val="11"/>
        <color rgb="FF000000"/>
        <rFont val="함초롬바탕"/>
        <family val="1"/>
        <charset val="129"/>
      </rPr>
      <t xml:space="preserve">위탁폐수처리량 </t>
    </r>
    <r>
      <rPr>
        <sz val="11"/>
        <color rgb="FF000000"/>
        <rFont val="맑은 고딕"/>
        <family val="3"/>
        <charset val="129"/>
        <scheme val="minor"/>
      </rPr>
      <t xml:space="preserve">× </t>
    </r>
    <r>
      <rPr>
        <sz val="11"/>
        <color rgb="FF000000"/>
        <rFont val="함초롬바탕"/>
        <family val="1"/>
        <charset val="129"/>
      </rPr>
      <t>위탁폐수 단가</t>
    </r>
  </si>
  <si>
    <t>폐기물</t>
  </si>
  <si>
    <t>○폐기물 재활용 시설 도입을 통한 자원순환 효율 증대</t>
  </si>
  <si>
    <r>
      <t xml:space="preserve">· </t>
    </r>
    <r>
      <rPr>
        <sz val="11"/>
        <color rgb="FF000000"/>
        <rFont val="함초롬바탕"/>
        <family val="1"/>
        <charset val="129"/>
      </rPr>
      <t xml:space="preserve">폐기물 재활용량 </t>
    </r>
    <r>
      <rPr>
        <sz val="11"/>
        <color rgb="FF000000"/>
        <rFont val="맑은 고딕"/>
        <family val="3"/>
        <charset val="129"/>
        <scheme val="minor"/>
      </rPr>
      <t xml:space="preserve">× </t>
    </r>
    <r>
      <rPr>
        <sz val="11"/>
        <color rgb="FF000000"/>
        <rFont val="함초롬바탕"/>
        <family val="1"/>
        <charset val="129"/>
      </rPr>
      <t>원자재 단가</t>
    </r>
  </si>
  <si>
    <t>○장비 효율 개선을 통한 제품 불량률 개선</t>
  </si>
  <si>
    <r>
      <t>· (</t>
    </r>
    <r>
      <rPr>
        <sz val="11"/>
        <color rgb="FF000000"/>
        <rFont val="함초롬바탕"/>
        <family val="1"/>
        <charset val="129"/>
      </rPr>
      <t>개선 전 불량률 – 개선 후 불량률</t>
    </r>
    <r>
      <rPr>
        <sz val="11"/>
        <color rgb="FF000000"/>
        <rFont val="맑은 고딕"/>
        <family val="3"/>
        <charset val="129"/>
        <scheme val="minor"/>
      </rPr>
      <t xml:space="preserve">) × </t>
    </r>
    <r>
      <rPr>
        <sz val="11"/>
        <color rgb="FF000000"/>
        <rFont val="함초롬바탕"/>
        <family val="1"/>
        <charset val="129"/>
      </rPr>
      <t>제품 단가</t>
    </r>
  </si>
  <si>
    <t>화학물질</t>
  </si>
  <si>
    <r>
      <t>○신규장비 도입</t>
    </r>
    <r>
      <rPr>
        <sz val="11"/>
        <color rgb="FF000000"/>
        <rFont val="맑은 고딕"/>
        <family val="3"/>
        <charset val="129"/>
        <scheme val="minor"/>
      </rPr>
      <t xml:space="preserve">, </t>
    </r>
    <r>
      <rPr>
        <sz val="11"/>
        <color rgb="FF000000"/>
        <rFont val="함초롬바탕"/>
        <family val="1"/>
        <charset val="129"/>
      </rPr>
      <t>장비 개선 등을 통한 화학물질</t>
    </r>
    <r>
      <rPr>
        <sz val="11"/>
        <color rgb="FF000000"/>
        <rFont val="맑은 고딕"/>
        <family val="3"/>
        <charset val="129"/>
        <scheme val="minor"/>
      </rPr>
      <t xml:space="preserve"> </t>
    </r>
    <r>
      <rPr>
        <sz val="11"/>
        <color rgb="FF000000"/>
        <rFont val="함초롬바탕"/>
        <family val="1"/>
        <charset val="129"/>
      </rPr>
      <t>사용량 절감</t>
    </r>
  </si>
  <si>
    <r>
      <t xml:space="preserve">· </t>
    </r>
    <r>
      <rPr>
        <sz val="11"/>
        <color rgb="FF000000"/>
        <rFont val="함초롬바탕"/>
        <family val="1"/>
        <charset val="129"/>
      </rPr>
      <t xml:space="preserve">화학물질 절감량 </t>
    </r>
    <r>
      <rPr>
        <sz val="11"/>
        <color rgb="FF000000"/>
        <rFont val="맑은 고딕"/>
        <family val="3"/>
        <charset val="129"/>
        <scheme val="minor"/>
      </rPr>
      <t xml:space="preserve">× </t>
    </r>
    <r>
      <rPr>
        <sz val="11"/>
        <color rgb="FF000000"/>
        <rFont val="함초롬바탕"/>
        <family val="1"/>
        <charset val="129"/>
      </rPr>
      <t>화학물질 단가</t>
    </r>
  </si>
  <si>
    <r>
      <t xml:space="preserve">· </t>
    </r>
    <r>
      <rPr>
        <sz val="11"/>
        <color rgb="FF000000"/>
        <rFont val="함초롬바탕"/>
        <family val="1"/>
        <charset val="129"/>
      </rPr>
      <t xml:space="preserve">화학물질 폐기기 처리량 </t>
    </r>
    <r>
      <rPr>
        <sz val="11"/>
        <color rgb="FF000000"/>
        <rFont val="맑은 고딕"/>
        <family val="3"/>
        <charset val="129"/>
        <scheme val="minor"/>
      </rPr>
      <t xml:space="preserve">× </t>
    </r>
    <r>
      <rPr>
        <sz val="11"/>
        <color rgb="FF000000"/>
        <rFont val="함초롬바탕"/>
        <family val="1"/>
        <charset val="129"/>
      </rPr>
      <t>폐기 단가</t>
    </r>
  </si>
  <si>
    <t>○화학물질 누액 감지 및 조정재 잔량 모니터링을 통한 오염 사전 차단</t>
  </si>
  <si>
    <r>
      <t xml:space="preserve">· </t>
    </r>
    <r>
      <rPr>
        <sz val="11"/>
        <color rgb="FF000000"/>
        <rFont val="함초롬바탕"/>
        <family val="1"/>
        <charset val="129"/>
      </rPr>
      <t>화학물질 방출 예방에 따른 비용 절감</t>
    </r>
  </si>
  <si>
    <t>작업효율 및 노동력 절감</t>
  </si>
  <si>
    <t>○작업효율 개선을 통한 노동시간 절감</t>
  </si>
  <si>
    <r>
      <t xml:space="preserve">· </t>
    </r>
    <r>
      <rPr>
        <sz val="11"/>
        <color rgb="FF000000"/>
        <rFont val="함초롬바탕"/>
        <family val="1"/>
        <charset val="129"/>
      </rPr>
      <t xml:space="preserve">노동 절감시간 </t>
    </r>
    <r>
      <rPr>
        <sz val="11"/>
        <color rgb="FF000000"/>
        <rFont val="맑은 고딕"/>
        <family val="3"/>
        <charset val="129"/>
        <scheme val="minor"/>
      </rPr>
      <t xml:space="preserve">× </t>
    </r>
    <r>
      <rPr>
        <sz val="11"/>
        <color rgb="FF000000"/>
        <rFont val="함초롬바탕"/>
        <family val="1"/>
        <charset val="129"/>
      </rPr>
      <t>인건비</t>
    </r>
  </si>
  <si>
    <t>경제적 성과 산정표(예시)</t>
    <phoneticPr fontId="1" type="noConversion"/>
  </si>
  <si>
    <t>※대상 항목과 산식은 협약시 전담기관-지원기업 간 결정</t>
    <phoneticPr fontId="1" type="noConversion"/>
  </si>
  <si>
    <t>한글파일 작성</t>
    <phoneticPr fontId="1" type="noConversion"/>
  </si>
  <si>
    <r>
      <t xml:space="preserve">작성Tip. </t>
    </r>
    <r>
      <rPr>
        <sz val="11"/>
        <color rgb="FFFF0000"/>
        <rFont val="맑은 고딕"/>
        <family val="3"/>
        <charset val="129"/>
        <scheme val="minor"/>
      </rPr>
      <t xml:space="preserve">
</t>
    </r>
    <r>
      <rPr>
        <sz val="11"/>
        <color rgb="FF0000FF"/>
        <rFont val="맑은 고딕"/>
        <family val="3"/>
        <charset val="129"/>
        <scheme val="minor"/>
      </rPr>
      <t xml:space="preserve"> 1. 노란색은 입력란으로 빠짐없이 채워주시기 바랍니다.
 2. 장문의 내용(설비명 제외) 입력시 셀 크기에 맞춰 작성하시기 바랍니다. 글자수가 셀크기를 벗어날 경우 출력시 문제가 생길 수 있습니다.
 3. 분야별 설비목록과 설비별 목표값은 정확하게 입력하시기 바랍니다. (한번 입력한 내용은 다른 수식, 셀, 시트에 영향을 주므로 정확한 설비명, 목표값 입력 필요)
</t>
    </r>
    <r>
      <rPr>
        <b/>
        <sz val="11"/>
        <color rgb="FF0000FF"/>
        <rFont val="맑은 고딕"/>
        <family val="3"/>
        <charset val="129"/>
        <scheme val="minor"/>
      </rPr>
      <t xml:space="preserve"> ※ </t>
    </r>
    <r>
      <rPr>
        <b/>
        <sz val="11"/>
        <color rgb="FFFF0000"/>
        <rFont val="맑은 고딕"/>
        <family val="3"/>
        <charset val="129"/>
        <scheme val="minor"/>
      </rPr>
      <t>추후 모든 평가, 행정절차는 엑셀을 기준으로 추진</t>
    </r>
    <r>
      <rPr>
        <b/>
        <sz val="11"/>
        <color rgb="FF0000FF"/>
        <rFont val="맑은 고딕"/>
        <family val="3"/>
        <charset val="129"/>
        <scheme val="minor"/>
      </rPr>
      <t>합니다. 예를들어 별도로 제출한 한글양식과 상이한 내용이 나중에 발견될 경우 엑셀 내용으로 모든 절차가 이루어집니다.</t>
    </r>
    <r>
      <rPr>
        <sz val="11"/>
        <color rgb="FF0000FF"/>
        <rFont val="맑은 고딕"/>
        <family val="3"/>
        <charset val="129"/>
        <scheme val="minor"/>
      </rPr>
      <t xml:space="preserve">
</t>
    </r>
    <r>
      <rPr>
        <sz val="11"/>
        <color rgb="FF0000FF"/>
        <rFont val="맑은 고딕"/>
        <family val="2"/>
        <charset val="129"/>
        <scheme val="minor"/>
      </rPr>
      <t xml:space="preserve">
</t>
    </r>
    <phoneticPr fontId="1" type="noConversion"/>
  </si>
  <si>
    <t>기업규모</t>
    <phoneticPr fontId="1" type="noConversion"/>
  </si>
  <si>
    <t>중소기업</t>
    <phoneticPr fontId="1" type="noConversion"/>
  </si>
  <si>
    <t>중견기업</t>
    <phoneticPr fontId="1" type="noConversion"/>
  </si>
  <si>
    <t>스마트 생태공장 구축사업 신청서</t>
    <phoneticPr fontId="1" type="noConversion"/>
  </si>
  <si>
    <t>기 업 명</t>
    <phoneticPr fontId="1" type="noConversion"/>
  </si>
  <si>
    <t>대 표 자 명</t>
    <phoneticPr fontId="1" type="noConversion"/>
  </si>
  <si>
    <t>사업장 주소</t>
    <phoneticPr fontId="1" type="noConversion"/>
  </si>
  <si>
    <t>기업구분</t>
    <phoneticPr fontId="1" type="noConversion"/>
  </si>
  <si>
    <t>중소기업</t>
    <phoneticPr fontId="1" type="noConversion"/>
  </si>
  <si>
    <t>중견기업</t>
    <phoneticPr fontId="1" type="noConversion"/>
  </si>
  <si>
    <t>성명</t>
    <phoneticPr fontId="1" type="noConversion"/>
  </si>
  <si>
    <t>이메일</t>
    <phoneticPr fontId="1" type="noConversion"/>
  </si>
  <si>
    <t>부서/직책</t>
    <phoneticPr fontId="1" type="noConversion"/>
  </si>
  <si>
    <t>연락처</t>
    <phoneticPr fontId="1" type="noConversion"/>
  </si>
  <si>
    <t>사무실</t>
    <phoneticPr fontId="1" type="noConversion"/>
  </si>
  <si>
    <t>휴대전화</t>
    <phoneticPr fontId="1" type="noConversion"/>
  </si>
  <si>
    <t>담당자</t>
    <phoneticPr fontId="1" type="noConversion"/>
  </si>
  <si>
    <t>본 ‘스마트 생태공장 구축’사업에 지원받은 년도(해당시)</t>
    <phoneticPr fontId="1" type="noConversion"/>
  </si>
  <si>
    <t>지원받은 년도</t>
    <phoneticPr fontId="1" type="noConversion"/>
  </si>
  <si>
    <t>※ 본 ‘스마트 생태공장 구축’사업에 지원받은 년도(해당시)</t>
    <phoneticPr fontId="1" type="noConversion"/>
  </si>
  <si>
    <t>기관 주소</t>
    <phoneticPr fontId="1" type="noConversion"/>
  </si>
  <si>
    <t>기관주소</t>
    <phoneticPr fontId="1" type="noConversion"/>
  </si>
  <si>
    <t>연락처</t>
    <phoneticPr fontId="1" type="noConversion"/>
  </si>
  <si>
    <t xml:space="preserve">신청기업 대표자 : </t>
    <phoneticPr fontId="1" type="noConversion"/>
  </si>
  <si>
    <t>첨 부 : 2024년 스마트 생태공장 구축사업 사업계획서 1부.</t>
    <phoneticPr fontId="1" type="noConversion"/>
  </si>
  <si>
    <t>(법인인감 직인)</t>
    <phoneticPr fontId="1" type="noConversion"/>
  </si>
  <si>
    <t>위와 같이 「스마트 생태공장 구축사업」을 신청합니다.</t>
    <phoneticPr fontId="1" type="noConversion"/>
  </si>
  <si>
    <t xml:space="preserve">제1장 </t>
    <phoneticPr fontId="1" type="noConversion"/>
  </si>
  <si>
    <t>사업 추진 내용</t>
    <phoneticPr fontId="1" type="noConversion"/>
  </si>
  <si>
    <t xml:space="preserve">제2장 </t>
    <phoneticPr fontId="1" type="noConversion"/>
  </si>
  <si>
    <t>신청기업 일반현황</t>
    <phoneticPr fontId="1" type="noConversion"/>
  </si>
  <si>
    <t xml:space="preserve">제3장 </t>
    <phoneticPr fontId="1" type="noConversion"/>
  </si>
  <si>
    <t>예상 효과</t>
    <phoneticPr fontId="1" type="noConversion"/>
  </si>
  <si>
    <t xml:space="preserve">제4장 </t>
    <phoneticPr fontId="1" type="noConversion"/>
  </si>
  <si>
    <t>사업비 사용계획 등</t>
    <phoneticPr fontId="1" type="noConversion"/>
  </si>
  <si>
    <t>※시설 설치 해당 사업장 정보 기재</t>
    <phoneticPr fontId="1" type="noConversion"/>
  </si>
  <si>
    <t>※사업목표와 달성방법을 드러낼 수 있도록 간결하게 작성</t>
    <phoneticPr fontId="1" type="noConversion"/>
  </si>
  <si>
    <t>※아래의 8개 분야 중 의무선택 2개 분야 포함하여 3개 이상 선택 필수</t>
    <phoneticPr fontId="1" type="noConversion"/>
  </si>
  <si>
    <t>스마트 생태공장 구축사업</t>
    <phoneticPr fontId="1" type="noConversion"/>
  </si>
  <si>
    <r>
      <t xml:space="preserve">작성Tip. 사업계획서(2장)
1. </t>
    </r>
    <r>
      <rPr>
        <sz val="11"/>
        <color rgb="FF0000FF"/>
        <rFont val="맑은 고딕"/>
        <family val="3"/>
        <charset val="129"/>
        <scheme val="minor"/>
      </rPr>
      <t>입력한 분야별 설비내용만 표에 표시되므로 노란색셀은 빠짐없이 작성해주시고 회색셀은 작성되지않도록 주의하시기 바랍니다.
2. 구축설비의 개선전, 개선후는 텍스트로 간단하게 입력하시기 바랍니다. 별도 내용이 없을경우 하이픈(-)을 입력하시기 바랍니다. 하이픈을 입력하지 않을경우 "0"으로 출력됩니다.
3. 예상효과의 개선전, 개선후 및 B/C는 해당 수치를 입력하시기 바랍니다.
※예상효과는 정량적으로 산정하여 작성하며, 사업 전 배출량 및 소비량 등 산정에 적용한 자료에 대한 증빙자료(공인기관 시험성적서 등) 첨부
※각 분야별 B/C 값은 첨부(경제적 성과 산정표)를 참고하여 산출하되 총 B/C는 연간 B/C에 내구연한을 곱한 값으로 산출
ex) 저감시설 설치로 연간 B/C = B(연간 절감 비용) / C(시설설치비용)을 산출하고, 시설 내구연한(10년)을 곱하여 총 B/C 값 산출
4. 수질분야 발생량(ton/년) = 농도(mg/l) x 유량(Q)의 식을 이용하여 산정
5. 환경보건, 기타시설의 경우 단위를 선택하셔야합니다.</t>
    </r>
    <r>
      <rPr>
        <sz val="11"/>
        <color rgb="FF0000FF"/>
        <rFont val="맑은 고딕"/>
        <family val="2"/>
        <charset val="129"/>
        <scheme val="minor"/>
      </rPr>
      <t xml:space="preserve">
</t>
    </r>
    <r>
      <rPr>
        <b/>
        <sz val="11"/>
        <color rgb="FF0000FF"/>
        <rFont val="맑은 고딕"/>
        <family val="3"/>
        <charset val="129"/>
        <scheme val="minor"/>
      </rPr>
      <t xml:space="preserve">※특히 </t>
    </r>
    <r>
      <rPr>
        <b/>
        <u/>
        <sz val="11"/>
        <color rgb="FFFF0000"/>
        <rFont val="맑은 고딕"/>
        <family val="3"/>
        <charset val="129"/>
        <scheme val="minor"/>
      </rPr>
      <t>소음, 악취</t>
    </r>
    <r>
      <rPr>
        <b/>
        <sz val="11"/>
        <color rgb="FF0000FF"/>
        <rFont val="맑은 고딕"/>
        <family val="3"/>
        <charset val="129"/>
        <scheme val="minor"/>
      </rPr>
      <t xml:space="preserve">의 경우 </t>
    </r>
    <r>
      <rPr>
        <b/>
        <u/>
        <sz val="11"/>
        <color rgb="FFFF0000"/>
        <rFont val="맑은 고딕"/>
        <family val="3"/>
        <charset val="129"/>
        <scheme val="minor"/>
      </rPr>
      <t>단위를 반드시 선택</t>
    </r>
    <r>
      <rPr>
        <b/>
        <sz val="11"/>
        <color rgb="FF0000FF"/>
        <rFont val="맑은 고딕"/>
        <family val="3"/>
        <charset val="129"/>
        <scheme val="minor"/>
      </rPr>
      <t xml:space="preserve">하셔야 합니다. 단위를 선택하지 않을 시 계산이 누락되며 해당사항으로 발생되는 불이익은 책임지지 않습니다.
</t>
    </r>
    <r>
      <rPr>
        <sz val="11"/>
        <color rgb="FF0000FF"/>
        <rFont val="맑은 고딕"/>
        <family val="3"/>
        <charset val="129"/>
        <scheme val="minor"/>
      </rPr>
      <t>6. 단일 설비에 대하여 2개 이상의 분야에 중뵥하여 효과를 작성할 수 없습니다.</t>
    </r>
    <phoneticPr fontId="1" type="noConversion"/>
  </si>
  <si>
    <t xml:space="preserve">제5장 </t>
    <phoneticPr fontId="1" type="noConversion"/>
  </si>
  <si>
    <t>별첨서류</t>
    <phoneticPr fontId="1" type="noConversion"/>
  </si>
  <si>
    <t>순
번</t>
    <phoneticPr fontId="1" type="noConversion"/>
  </si>
  <si>
    <t>필수</t>
    <phoneticPr fontId="1" type="noConversion"/>
  </si>
  <si>
    <t>[별지1] 사업신청서 작성양식</t>
    <phoneticPr fontId="1" type="noConversion"/>
  </si>
  <si>
    <t>첨부서류</t>
    <phoneticPr fontId="1" type="noConversion"/>
  </si>
  <si>
    <t>수
량</t>
    <phoneticPr fontId="1" type="noConversion"/>
  </si>
  <si>
    <t>제출</t>
    <phoneticPr fontId="1" type="noConversion"/>
  </si>
  <si>
    <t>비제출</t>
    <phoneticPr fontId="1" type="noConversion"/>
  </si>
  <si>
    <t>비고</t>
    <phoneticPr fontId="1" type="noConversion"/>
  </si>
  <si>
    <t>사업계획서</t>
    <phoneticPr fontId="1" type="noConversion"/>
  </si>
  <si>
    <t>[별첨1] 사업참여의사 확인서</t>
    <phoneticPr fontId="1" type="noConversion"/>
  </si>
  <si>
    <t>원본</t>
    <phoneticPr fontId="1" type="noConversion"/>
  </si>
  <si>
    <t>[별첨2] 중복지원 금지 확약서</t>
    <phoneticPr fontId="1" type="noConversion"/>
  </si>
  <si>
    <t>[별첨3] 신청기업 자기진단서</t>
    <phoneticPr fontId="1" type="noConversion"/>
  </si>
  <si>
    <t>[별첨4] 안전보건 서약서 및 안전보건계획서</t>
    <phoneticPr fontId="1" type="noConversion"/>
  </si>
  <si>
    <t>※안전보건계획서 작성 시 신청기업 자체 양식 사용 가능</t>
    <phoneticPr fontId="1" type="noConversion"/>
  </si>
  <si>
    <t>사업자등록증</t>
    <phoneticPr fontId="1" type="noConversion"/>
  </si>
  <si>
    <t>사본</t>
    <phoneticPr fontId="1" type="noConversion"/>
  </si>
  <si>
    <t>공단
양식
작성
서류</t>
    <phoneticPr fontId="1" type="noConversion"/>
  </si>
  <si>
    <t>법인인감증명서</t>
    <phoneticPr fontId="1" type="noConversion"/>
  </si>
  <si>
    <t>※개인사업자일 경우, 개인인감증명서 원본 제출</t>
    <phoneticPr fontId="1" type="noConversion"/>
  </si>
  <si>
    <t>국세 및 지방세 납입증명서</t>
    <phoneticPr fontId="1" type="noConversion"/>
  </si>
  <si>
    <t>최근 2개년 재무재표
(재무상태표, 손익계산서)</t>
    <phoneticPr fontId="1" type="noConversion"/>
  </si>
  <si>
    <t>중소기업 확인서 또는
중견기업 확인서</t>
    <phoneticPr fontId="1" type="noConversion"/>
  </si>
  <si>
    <t>공장등록증명서 등 제조업 증빙서류</t>
    <phoneticPr fontId="1" type="noConversion"/>
  </si>
  <si>
    <t>해당시</t>
    <phoneticPr fontId="1" type="noConversion"/>
  </si>
  <si>
    <t>가점 현황 증빙 사본
(가점표 00쪽 확인)</t>
    <phoneticPr fontId="1" type="noConversion"/>
  </si>
  <si>
    <t>시설의 주요구성 자료
(개략도 등)</t>
    <phoneticPr fontId="1" type="noConversion"/>
  </si>
  <si>
    <t>※레이아웃, 공정도, 개략도 등 모든 설비에 대한 자료제출필요</t>
    <phoneticPr fontId="1" type="noConversion"/>
  </si>
  <si>
    <t>시설의 사양파악 자료</t>
    <phoneticPr fontId="1" type="noConversion"/>
  </si>
  <si>
    <t>※유형자산 및 건설비는 건당 1천만원 이상인 경우 비교견적포함
※환경전문공사, ICT설비 및 재생에너지발전설비는 각각 시공관련면허(환경전문공사업등록증, 정보통신공사업등록증, 전기공사업등록증)를 보유한자가 발급한 내역임을 확인할 수 있도록 공사업등록증첨부
※본견적서 1개,비교견적서 2개 (장비·재료비 건당 1천만원 이상인 경우)제출필요</t>
    <phoneticPr fontId="1" type="noConversion"/>
  </si>
  <si>
    <t>사업비 사용계획 산출내역에 대한 견적서 등 근거자료</t>
    <phoneticPr fontId="1" type="noConversion"/>
  </si>
  <si>
    <t>※사업명, 주관부처, 사업비, 사업기간, 성공여부, 수행책임자, 과제 주요내용 포함</t>
    <phoneticPr fontId="1" type="noConversion"/>
  </si>
  <si>
    <t>※최근 6개월 이내 지도점검 결과 또는 공인기관 시험성적서</t>
    <phoneticPr fontId="1" type="noConversion"/>
  </si>
  <si>
    <t>정부지원사업 신청 및 수행현황(최근 5년) 리스트</t>
    <phoneticPr fontId="1" type="noConversion"/>
  </si>
  <si>
    <t>환경법적기준
(배출허용기준)
준수 증빙서류</t>
    <phoneticPr fontId="1" type="noConversion"/>
  </si>
  <si>
    <t>구비
서류</t>
    <phoneticPr fontId="1" type="noConversion"/>
  </si>
  <si>
    <t>체크사항</t>
    <phoneticPr fontId="1" type="noConversion"/>
  </si>
  <si>
    <t>사본</t>
    <phoneticPr fontId="1" type="noConversion"/>
  </si>
  <si>
    <r>
      <rPr>
        <b/>
        <u/>
        <sz val="11"/>
        <color rgb="FF0000FF"/>
        <rFont val="맑은 고딕"/>
        <family val="3"/>
        <charset val="129"/>
        <scheme val="minor"/>
      </rPr>
      <t>제5장</t>
    </r>
    <r>
      <rPr>
        <u/>
        <sz val="11"/>
        <color rgb="FF0000FF"/>
        <rFont val="맑은 고딕"/>
        <family val="3"/>
        <charset val="129"/>
        <scheme val="minor"/>
      </rPr>
      <t xml:space="preserve"> 별첨서류</t>
    </r>
    <phoneticPr fontId="1" type="noConversion"/>
  </si>
  <si>
    <t>제출여부</t>
    <phoneticPr fontId="1" type="noConversion"/>
  </si>
  <si>
    <t>√</t>
    <phoneticPr fontId="1" type="noConversion"/>
  </si>
  <si>
    <t>법인등기부등본</t>
    <phoneticPr fontId="1" type="noConversion"/>
  </si>
  <si>
    <r>
      <t xml:space="preserve">기타 </t>
    </r>
    <r>
      <rPr>
        <u/>
        <sz val="11"/>
        <color rgb="FF0000FF"/>
        <rFont val="맑은 고딕"/>
        <family val="3"/>
        <charset val="129"/>
        <scheme val="minor"/>
      </rPr>
      <t>개인정보수집이용동의서</t>
    </r>
    <phoneticPr fontId="1" type="noConversion"/>
  </si>
  <si>
    <t>개인정보 수집·이용 동의서</t>
    <phoneticPr fontId="1" type="noConversion"/>
  </si>
  <si>
    <t>동의함</t>
    <phoneticPr fontId="1" type="noConversion"/>
  </si>
  <si>
    <t>동의하지 않음</t>
    <phoneticPr fontId="1" type="noConversion"/>
  </si>
  <si>
    <t xml:space="preserve">□ </t>
    <phoneticPr fontId="1" type="noConversion"/>
  </si>
  <si>
    <t>스마트 생태공장 구축 사업과 관련하여 본인의 개인정보를 수집․이용하거나 제3자에 게 제공 하고자 하는 경우에는「개인정보보호법」제15조제1항제1호, 제17조제1항제1 호에 따라 본인의 동의를 얻어야 합니다. 이에 본인은 아래의 내용과 같이 한국환경 공단에 개인정보를 수집․이용 또는 제공하는 것에 동의합니다.</t>
  </si>
  <si>
    <t>소속</t>
    <phoneticPr fontId="1" type="noConversion"/>
  </si>
  <si>
    <t>성명</t>
    <phoneticPr fontId="1" type="noConversion"/>
  </si>
  <si>
    <t>(서명 또는 인)</t>
    <phoneticPr fontId="1" type="noConversion"/>
  </si>
  <si>
    <t>한국환경공단이사장 귀하</t>
    <phoneticPr fontId="1" type="noConversion"/>
  </si>
  <si>
    <t>제3자 제공
동의</t>
    <phoneticPr fontId="1" type="noConversion"/>
  </si>
  <si>
    <t>본인은 위 목적으로 본인의 개인정보를 제3자 제공하는 것에 동의합니다.</t>
    <phoneticPr fontId="1" type="noConversion"/>
  </si>
  <si>
    <t>본인은 위 목적으로 본인의 개인정보를 수집·이용하는 것에 동의합니다.</t>
    <phoneticPr fontId="1" type="noConversion"/>
  </si>
  <si>
    <r>
      <t>수집·</t>
    </r>
    <r>
      <rPr>
        <b/>
        <sz val="9.9"/>
        <color theme="1"/>
        <rFont val="휴먼명조"/>
        <charset val="129"/>
      </rPr>
      <t>이용
동의</t>
    </r>
    <phoneticPr fontId="1" type="noConversion"/>
  </si>
  <si>
    <r>
      <t>1. 개인정보 수집․이용에 관한 사항
 ○ 수집·이용 목적
  ① 스마트 생태공장 구축사업의 신청 및 지원
  ② 전문위원의 구성 및 운영 
 ○ 수집·이용 항목
   - 필수항목: 성명, 생년월일, 전화, 휴대전화, 이메일, 소속기관 정보(기관명, 부서, 직위), 
     학력(학교명, 학과, 학위), 경력(기관명, 부서, 직위, 근무기간 등), 계약(협약체결)을 위한
     제반서류
   - 선택항목: 주소
 ○ 보유·이용기간: 동의 철회 또는 제공된 목적 달성 후에는 위의 수집</t>
    </r>
    <r>
      <rPr>
        <sz val="11"/>
        <color theme="1"/>
        <rFont val="맑은 고딕"/>
        <family val="3"/>
        <charset val="129"/>
      </rPr>
      <t>‧</t>
    </r>
    <r>
      <rPr>
        <sz val="11"/>
        <color theme="1"/>
        <rFont val="휴먼명조"/>
        <charset val="129"/>
      </rPr>
      <t xml:space="preserve">이용 목적과 관련된 
    분쟁해결, 민원처리, 법령상 의무이행을 위하여 필요한 범위 내에서만 보유·이용
  ① 제공된 날로부터 해당 사업 성과활용 종료시까지 보유·이용
  ② 제공된 날로부터 전문위원 임기(2년)까지 보유·이용
 ○ 동의를 거부할 권리 및 동의를 거부할 경우의 불이익
  - 필수항목: 스마트 생태공장 구축사업 신청 및 전문위원 구성 불가
  - 선택항목: 불이익 없음
</t>
    </r>
    <r>
      <rPr>
        <b/>
        <sz val="11"/>
        <color theme="1"/>
        <rFont val="휴먼명조"/>
        <charset val="129"/>
      </rPr>
      <t xml:space="preserve">
2. 제3자 제공에 관한 사항</t>
    </r>
    <r>
      <rPr>
        <sz val="11"/>
        <color theme="1"/>
        <rFont val="휴먼명조"/>
        <charset val="129"/>
      </rPr>
      <t xml:space="preserve">
 ○ 제공받는 자: 환경부, 위탁기관(한국환경공단이 지정) 등
 ○ 제공받는 자의 이용 목적: 스마트 생태공장 구축사업
 ○ 제공할 개인정보의 항목: 성명, 휴대전화, 이메일, 소속기관 정보(기관명, 부서, 직위)
 ○ 제공받은 자의 개인정보 보유․이용기간 : 개인정보는 제공된 날로부터 동의 철회 시 또는 
    제공된 목적을 달성할 때까지 보유․이용. 동의 철회 또는 제공된 목적 달성 후에는 위에
    기재된 이용 목적과 관련된 분쟁해결, 민원처리, 법령상 의무이행을 위하여 필요한 범위 
    내에서만 보유․이용
</t>
    </r>
    <phoneticPr fontId="1" type="noConversion"/>
  </si>
  <si>
    <t>등받이 방호울 설치로 안정성 확보</t>
    <phoneticPr fontId="1" type="noConversion"/>
  </si>
  <si>
    <t>일부 사다리 등받이 방호울미 설치</t>
    <phoneticPr fontId="1" type="noConversion"/>
  </si>
  <si>
    <r>
      <t>스마트 생태공장 구축 사업과 관련하여 본인의 개인정보를 수집</t>
    </r>
    <r>
      <rPr>
        <sz val="11"/>
        <color theme="1"/>
        <rFont val="맑은 고딕"/>
        <family val="3"/>
        <charset val="129"/>
      </rPr>
      <t>·</t>
    </r>
    <r>
      <rPr>
        <sz val="11"/>
        <color theme="1"/>
        <rFont val="휴먼명조"/>
        <charset val="129"/>
      </rPr>
      <t>이용하거나 제3자에게 제공 하고자 하는 경우에는 「개인정보보호법」 제15조제1항제1호, 제17조제1항제1 호에 따라 본인의 동의를 얻어야 합니다. 이에 본인은 아래의 내용과 같이 한국환경공단에 개인정보를 수집·이용 또는 제공하는 것에 동의합니다.</t>
    </r>
    <phoneticPr fontId="1" type="noConversion"/>
  </si>
  <si>
    <t>환경컨설팅업</t>
    <phoneticPr fontId="1" type="noConversion"/>
  </si>
  <si>
    <t>㈜현대공업</t>
    <phoneticPr fontId="1" type="noConversion"/>
  </si>
  <si>
    <t>강현석, 백상열</t>
    <phoneticPr fontId="1" type="noConversion"/>
  </si>
  <si>
    <t>매곡산업5길 28</t>
    <phoneticPr fontId="1" type="noConversion"/>
  </si>
  <si>
    <t>1969년 07월 현대공업사 창립
1969년 07월 현대차 버스1호 시트 납품 개시
1976년 06월 포니 시트 생산
1978년 09월 ㈜현대공업 법인 설립
1987년 03월 공장 확장이전(울산 부곡동)
1994년 03월 총무처장관, 국무총리 표창
1997년 05월 불량 100PPM 달성
2001년 11월 아산공장 설립
2004년 07월 중국 북경 법인 설립
2013년 12월 코스닥 시장 상장
2015년 07월 공장 확장 이전(울산 매곡동)
2015년 12월 중국 황화 법인 설립
2022년 10월 신개념 헤드레스트 / 다단 암레스트 메커니즘 개발</t>
    <phoneticPr fontId="1" type="noConversion"/>
  </si>
  <si>
    <t>SEAT PAD, HEAD REST, ARM REST</t>
    <phoneticPr fontId="1" type="noConversion"/>
  </si>
  <si>
    <t>제조업 - 그 외 자동차용 신품 부품 제조업</t>
    <phoneticPr fontId="1" type="noConversion"/>
  </si>
  <si>
    <t>자동차용 시트 부품 제조</t>
    <phoneticPr fontId="1" type="noConversion"/>
  </si>
  <si>
    <t>사업성과 모니터링시스템</t>
    <phoneticPr fontId="1" type="noConversion"/>
  </si>
  <si>
    <t>발포라인 딥러닝 시스템</t>
    <phoneticPr fontId="1" type="noConversion"/>
  </si>
  <si>
    <t>빗물 재이용시설</t>
    <phoneticPr fontId="1" type="noConversion"/>
  </si>
  <si>
    <t>중견기업</t>
  </si>
  <si>
    <t>고효율 여과 집진시설</t>
    <phoneticPr fontId="1" type="noConversion"/>
  </si>
  <si>
    <t>자동차시트 폼패드성형공정 고효율온조시스템의 ESG경영화</t>
    <phoneticPr fontId="1" type="noConversion"/>
  </si>
  <si>
    <t>각 유압/진공 펌프 동력에 맞춰 가변제어 장치 부착</t>
    <phoneticPr fontId="1" type="noConversion"/>
  </si>
  <si>
    <t>온조기 내에 6kW 히터가 내장되어 있는 형태</t>
    <phoneticPr fontId="1" type="noConversion"/>
  </si>
  <si>
    <t>온조기 내의 히터를 5.5kW 장치로 교체</t>
    <phoneticPr fontId="1" type="noConversion"/>
  </si>
  <si>
    <t>대분류 형태로 시설의 세부적인 전력소비량을 알 수 없음</t>
    <phoneticPr fontId="1" type="noConversion"/>
  </si>
  <si>
    <t>세분류 형태로 개선하여 온조기 및 펌프시설의 전력소비량 확인</t>
    <phoneticPr fontId="1" type="noConversion"/>
  </si>
  <si>
    <t>300CMM 여과집진기 x 3기</t>
    <phoneticPr fontId="1" type="noConversion"/>
  </si>
  <si>
    <t>900CMM 고효율 여과집진기 x 1기</t>
    <phoneticPr fontId="1" type="noConversion"/>
  </si>
  <si>
    <t>불량 검사에 따라 원료주입을 조절하여 폐기물 배출이 저감됨</t>
    <phoneticPr fontId="1" type="noConversion"/>
  </si>
  <si>
    <t>시스템 미설치로 금형시설에 대한 불량 검사가 진행되지 않음</t>
    <phoneticPr fontId="1" type="noConversion"/>
  </si>
  <si>
    <t>별도의 재이용시설 없음</t>
    <phoneticPr fontId="1" type="noConversion"/>
  </si>
  <si>
    <t>빗물 재이용시설을 설치하여 용수 및 지붕온도 저감 목적으로 사용</t>
    <phoneticPr fontId="1" type="noConversion"/>
  </si>
  <si>
    <t>시설비</t>
  </si>
  <si>
    <t>900CMM 여과집진기 제작 및 설치</t>
    <phoneticPr fontId="1" type="noConversion"/>
  </si>
  <si>
    <t>빗물 재이용시설 구축</t>
    <phoneticPr fontId="1" type="noConversion"/>
  </si>
  <si>
    <t>모니터링시스템 구축</t>
    <phoneticPr fontId="1" type="noConversion"/>
  </si>
  <si>
    <t>컨설팅</t>
    <phoneticPr fontId="1" type="noConversion"/>
  </si>
  <si>
    <t>정산관련 검증용역</t>
    <phoneticPr fontId="1" type="noConversion"/>
  </si>
  <si>
    <t>-</t>
    <phoneticPr fontId="1" type="noConversion"/>
  </si>
  <si>
    <t>전력량계 설치</t>
    <phoneticPr fontId="1" type="noConversion"/>
  </si>
  <si>
    <t>딥러닝 시스템 구축</t>
    <phoneticPr fontId="1" type="noConversion"/>
  </si>
  <si>
    <t>√</t>
  </si>
  <si>
    <t>폼패드 성형공정 온조기 히터시설</t>
    <phoneticPr fontId="1" type="noConversion"/>
  </si>
  <si>
    <t>(협약후 ~ 2024.10.30) 신청과제(시설)별 설계 및 제작 후 현장 시공 완료
(2024.11.1 ~ 2024.11.30) 신청과제(시설)별 시운전 운영 및 성과 도출(측정, 분석)
(2024.12.1 ~ 2024.12.30) 신청과제(시설)별 성과 취합 및 결과 보고</t>
    <phoneticPr fontId="1" type="noConversion"/>
  </si>
  <si>
    <t>고효율 펌프 가변제어 장치 설치</t>
    <phoneticPr fontId="1" type="noConversion"/>
  </si>
  <si>
    <t>폼패드성형공정 온조기 히터시설</t>
    <phoneticPr fontId="1" type="noConversion"/>
  </si>
  <si>
    <t>자동차내장재(시트) 생산 전문업체로 자동차 생산업종의 ESG경영 체계 구축 및 활동을 통해 탄소중립활동 강화와 친환경경영 확산이 필요한 시점이며, 이에 따른 정부지원을 통해 정부 환경정책 이바지 및 글로벌 기업으로써의 탄소중립활동 선진화로 동종업계 및 협력업체에 적용 설비의 확산을 목적으로둠</t>
    <phoneticPr fontId="1" type="noConversion"/>
  </si>
  <si>
    <t>고효율 펌프 가변제어 장치</t>
    <phoneticPr fontId="1" type="noConversion"/>
  </si>
  <si>
    <t>총 환경적 효과 : 온실가스 206.4tco2eq/년 저감
                     대기오염물질(먼지) 0.0077ppm 저감, 폐기물 배출량 2.8톤/년 저감
총 경제적 효과 : 407,697천원/년</t>
    <phoneticPr fontId="1" type="noConversion"/>
  </si>
  <si>
    <t>유압펌프 10대, 진공 펌프 9대</t>
    <phoneticPr fontId="1" type="noConversion"/>
  </si>
  <si>
    <t>ㅇㅇㅇ</t>
    <phoneticPr fontId="1" type="noConversion"/>
  </si>
  <si>
    <t>ㅇㅇ팀/팀장</t>
    <phoneticPr fontId="1" type="noConversion"/>
  </si>
  <si>
    <t>abc@abc.co.kr</t>
    <phoneticPr fontId="1" type="noConversion"/>
  </si>
  <si>
    <t>052-000-0000</t>
    <phoneticPr fontId="1" type="noConversion"/>
  </si>
  <si>
    <t>ㅇㅇ팀/매니저</t>
    <phoneticPr fontId="1" type="noConversion"/>
  </si>
  <si>
    <t>㈜ㅇㅇㅇ</t>
    <phoneticPr fontId="1" type="noConversion"/>
  </si>
  <si>
    <t>ㅇㅇㅇ/ㅇㅇㅇ</t>
    <phoneticPr fontId="1" type="noConversion"/>
  </si>
  <si>
    <t>02-0000-0000</t>
    <phoneticPr fontId="1" type="noConversion"/>
  </si>
  <si>
    <t>010-0000-0000</t>
    <phoneticPr fontId="1" type="noConversion"/>
  </si>
  <si>
    <t>[지원분야 (5) : 온실가스저감, ICT,대기오염저감, 폐기물 배출저감, 자원순환]
[시설분야 (5) : 에너지회수절감, 사업성과모니터링제어, 대기오염방지, 폐기물저감, 빗물재이용]
폼패드성형공정의 고효율 온조기 히터시설 설치를 통한 에너지 절감 및 온실가스 저감
유틸리티시설인 고효율 펌프 가변제어 장치 설치를 통한 에너지 절감 및 온실가스 저감
사업성과 모니터링 시스템 구축 및 기존 에너지모니터링시스템 연동을 통한 에너지효율관리 시스템화
고효율 여과집진시설 설치를 통한 대기오염물질(먼지) 배출 저감
발포공정내 딥러닝시스템(자동화) 구축을 통한 폐합성수지 폐기물 배출 저감
친환경시설인 빗물재이용시설 설치를 통한 빗물재이용으로 공업용수 사용 저감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</si>
</sst>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 #,##0_-;_-* &quot;-&quot;_-;_-@_-"/>
    <numFmt numFmtId="176" formatCode="####&quot;년&quot;"/>
    <numFmt numFmtId="177" formatCode="0.0%"/>
    <numFmt numFmtId="178" formatCode="#,##0.0##\ &quot;ppm&quot;"/>
    <numFmt numFmtId="179" formatCode="#,##0.0##\ &quot;ton/년&quot;"/>
    <numFmt numFmtId="180" formatCode="#,##0.0##\ &quot;tCO2eq/년&quot;"/>
    <numFmt numFmtId="181" formatCode="##0.0\ &quot;dB&quot;"/>
    <numFmt numFmtId="182" formatCode="#,##0\ &quot;배&quot;"/>
    <numFmt numFmtId="183" formatCode="#,###\ &quot;천원/년&quot;"/>
    <numFmt numFmtId="184" formatCode="#,###\ &quot;천원&quot;"/>
    <numFmt numFmtId="185" formatCode="0_ "/>
    <numFmt numFmtId="186" formatCode="0;\-0;;@"/>
    <numFmt numFmtId="187" formatCode="#,##0_);[Red]\(#,##0\)"/>
    <numFmt numFmtId="188" formatCode="#,##0;\-0;;@"/>
    <numFmt numFmtId="189" formatCode="#,##0_ "/>
    <numFmt numFmtId="190" formatCode="#,##0.0##;\-0;;@"/>
    <numFmt numFmtId="191" formatCode="0.0"/>
    <numFmt numFmtId="192" formatCode="0_);[Red]\(0\)"/>
    <numFmt numFmtId="193" formatCode="0.000_ "/>
    <numFmt numFmtId="194" formatCode="0##\-####\-####"/>
    <numFmt numFmtId="195" formatCode="0##\-##\-#####"/>
    <numFmt numFmtId="196" formatCode="0#####\-#######"/>
    <numFmt numFmtId="197" formatCode="0##\-###\-####"/>
  </numFmts>
  <fonts count="83">
    <font>
      <sz val="11"/>
      <color theme="1"/>
      <name val="맑은 고딕"/>
      <family val="2"/>
      <charset val="129"/>
      <scheme val="minor"/>
    </font>
    <font>
      <sz val="8"/>
      <name val="맑은 고딕"/>
      <family val="2"/>
      <charset val="129"/>
      <scheme val="minor"/>
    </font>
    <font>
      <sz val="16"/>
      <color theme="1"/>
      <name val="맑은 고딕"/>
      <family val="3"/>
      <charset val="129"/>
      <scheme val="minor"/>
    </font>
    <font>
      <b/>
      <sz val="11"/>
      <color theme="1"/>
      <name val="맑은 고딕"/>
      <family val="3"/>
      <charset val="129"/>
      <scheme val="minor"/>
    </font>
    <font>
      <sz val="8"/>
      <color theme="1"/>
      <name val="맑은 고딕"/>
      <family val="2"/>
      <charset val="129"/>
      <scheme val="minor"/>
    </font>
    <font>
      <sz val="11"/>
      <color theme="1"/>
      <name val="맑은 고딕"/>
      <family val="2"/>
      <charset val="129"/>
      <scheme val="minor"/>
    </font>
    <font>
      <sz val="11"/>
      <color rgb="FFFF0000"/>
      <name val="맑은 고딕"/>
      <family val="2"/>
      <charset val="129"/>
      <scheme val="minor"/>
    </font>
    <font>
      <sz val="10"/>
      <color theme="1"/>
      <name val="맑은 고딕"/>
      <family val="2"/>
      <charset val="129"/>
      <scheme val="minor"/>
    </font>
    <font>
      <sz val="9"/>
      <color theme="1"/>
      <name val="맑은 고딕"/>
      <family val="2"/>
      <charset val="129"/>
      <scheme val="minor"/>
    </font>
    <font>
      <sz val="11"/>
      <color rgb="FFFF0000"/>
      <name val="맑은 고딕"/>
      <family val="3"/>
      <charset val="129"/>
      <scheme val="minor"/>
    </font>
    <font>
      <sz val="11"/>
      <color theme="1"/>
      <name val="맑은 고딕"/>
      <family val="3"/>
      <charset val="129"/>
      <scheme val="minor"/>
    </font>
    <font>
      <sz val="11"/>
      <color theme="0"/>
      <name val="맑은 고딕"/>
      <family val="2"/>
      <charset val="129"/>
      <scheme val="minor"/>
    </font>
    <font>
      <sz val="11"/>
      <color theme="0"/>
      <name val="맑은 고딕"/>
      <family val="3"/>
      <charset val="129"/>
      <scheme val="minor"/>
    </font>
    <font>
      <b/>
      <sz val="11"/>
      <color rgb="FF000000"/>
      <name val="맑은 고딕"/>
      <family val="3"/>
      <charset val="129"/>
    </font>
    <font>
      <sz val="11"/>
      <color rgb="FF0000FF"/>
      <name val="맑은 고딕"/>
      <family val="2"/>
      <charset val="129"/>
      <scheme val="minor"/>
    </font>
    <font>
      <sz val="11"/>
      <color rgb="FF0000FF"/>
      <name val="맑은 고딕"/>
      <family val="3"/>
      <charset val="129"/>
      <scheme val="minor"/>
    </font>
    <font>
      <sz val="10"/>
      <color theme="1"/>
      <name val="맑은 고딕"/>
      <family val="3"/>
      <charset val="129"/>
      <scheme val="minor"/>
    </font>
    <font>
      <sz val="11"/>
      <color theme="1"/>
      <name val="맑은 고딕"/>
      <family val="3"/>
      <charset val="129"/>
    </font>
    <font>
      <sz val="11"/>
      <color theme="0" tint="-0.14999847407452621"/>
      <name val="맑은 고딕"/>
      <family val="2"/>
      <charset val="129"/>
      <scheme val="minor"/>
    </font>
    <font>
      <b/>
      <sz val="11"/>
      <color rgb="FF0000FF"/>
      <name val="맑은 고딕"/>
      <family val="3"/>
      <charset val="129"/>
      <scheme val="minor"/>
    </font>
    <font>
      <sz val="9"/>
      <color indexed="81"/>
      <name val="Tahoma"/>
      <family val="2"/>
    </font>
    <font>
      <b/>
      <sz val="9"/>
      <color indexed="81"/>
      <name val="Tahoma"/>
      <family val="2"/>
    </font>
    <font>
      <sz val="9"/>
      <color indexed="81"/>
      <name val="돋움"/>
      <family val="3"/>
      <charset val="129"/>
    </font>
    <font>
      <u/>
      <sz val="11"/>
      <color theme="1"/>
      <name val="맑은 고딕"/>
      <family val="3"/>
      <charset val="129"/>
      <scheme val="minor"/>
    </font>
    <font>
      <b/>
      <u/>
      <sz val="11"/>
      <color rgb="FF0000FF"/>
      <name val="맑은 고딕"/>
      <family val="3"/>
      <charset val="129"/>
      <scheme val="minor"/>
    </font>
    <font>
      <u/>
      <sz val="11"/>
      <color theme="1"/>
      <name val="맑은 고딕"/>
      <family val="2"/>
      <charset val="129"/>
      <scheme val="minor"/>
    </font>
    <font>
      <u/>
      <sz val="11"/>
      <color rgb="FF0000FF"/>
      <name val="맑은 고딕"/>
      <family val="3"/>
      <charset val="129"/>
      <scheme val="minor"/>
    </font>
    <font>
      <u/>
      <sz val="11"/>
      <color rgb="FF0000FF"/>
      <name val="맑은 고딕"/>
      <family val="2"/>
      <charset val="129"/>
      <scheme val="minor"/>
    </font>
    <font>
      <b/>
      <sz val="11"/>
      <color rgb="FFFF0000"/>
      <name val="맑은 고딕"/>
      <family val="3"/>
      <charset val="129"/>
      <scheme val="minor"/>
    </font>
    <font>
      <b/>
      <u/>
      <sz val="11"/>
      <color rgb="FFFF0000"/>
      <name val="맑은 고딕"/>
      <family val="3"/>
      <charset val="129"/>
      <scheme val="minor"/>
    </font>
    <font>
      <sz val="11"/>
      <color theme="0" tint="-0.14999847407452621"/>
      <name val="맑은 고딕"/>
      <family val="3"/>
      <charset val="129"/>
      <scheme val="minor"/>
    </font>
    <font>
      <sz val="10"/>
      <color rgb="FFFF0000"/>
      <name val="맑은 고딕"/>
      <family val="3"/>
      <charset val="129"/>
      <scheme val="minor"/>
    </font>
    <font>
      <u/>
      <sz val="10"/>
      <color rgb="FFFF0000"/>
      <name val="맑은 고딕"/>
      <family val="2"/>
      <charset val="129"/>
      <scheme val="minor"/>
    </font>
    <font>
      <u/>
      <sz val="10"/>
      <color rgb="FFFF0000"/>
      <name val="맑은 고딕"/>
      <family val="3"/>
      <charset val="129"/>
      <scheme val="minor"/>
    </font>
    <font>
      <sz val="72"/>
      <color rgb="FFFF0000"/>
      <name val="맑은 고딕"/>
      <family val="2"/>
      <charset val="129"/>
      <scheme val="minor"/>
    </font>
    <font>
      <i/>
      <sz val="11"/>
      <color theme="0" tint="-0.499984740745262"/>
      <name val="맑은 고딕"/>
      <family val="3"/>
      <charset val="129"/>
      <scheme val="minor"/>
    </font>
    <font>
      <i/>
      <sz val="10"/>
      <color theme="1" tint="0.499984740745262"/>
      <name val="맑은 고딕"/>
      <family val="3"/>
      <charset val="129"/>
      <scheme val="minor"/>
    </font>
    <font>
      <i/>
      <sz val="11"/>
      <color theme="1" tint="0.499984740745262"/>
      <name val="맑은 고딕"/>
      <family val="3"/>
      <charset val="129"/>
      <scheme val="minor"/>
    </font>
    <font>
      <sz val="22"/>
      <color theme="1"/>
      <name val="맑은 고딕"/>
      <family val="3"/>
      <charset val="129"/>
      <scheme val="minor"/>
    </font>
    <font>
      <sz val="20"/>
      <color theme="1"/>
      <name val="함초롬바탕"/>
      <family val="1"/>
      <charset val="129"/>
    </font>
    <font>
      <sz val="11"/>
      <color rgb="FF000000"/>
      <name val="함초롬바탕"/>
      <family val="1"/>
      <charset val="129"/>
    </font>
    <font>
      <sz val="11"/>
      <color rgb="FF000000"/>
      <name val="맑은 고딕"/>
      <family val="3"/>
      <charset val="129"/>
      <scheme val="minor"/>
    </font>
    <font>
      <b/>
      <sz val="16"/>
      <color theme="1"/>
      <name val="함초롬바탕"/>
      <family val="1"/>
      <charset val="129"/>
    </font>
    <font>
      <b/>
      <sz val="12"/>
      <color rgb="FF000000"/>
      <name val="한양신명조"/>
      <family val="3"/>
      <charset val="129"/>
    </font>
    <font>
      <b/>
      <sz val="12"/>
      <color rgb="FF000000"/>
      <name val="함초롬바탕"/>
      <family val="1"/>
      <charset val="129"/>
    </font>
    <font>
      <u/>
      <sz val="11"/>
      <color theme="10"/>
      <name val="맑은 고딕"/>
      <family val="2"/>
      <charset val="129"/>
      <scheme val="minor"/>
    </font>
    <font>
      <b/>
      <sz val="18"/>
      <color theme="1"/>
      <name val="휴먼명조"/>
      <family val="3"/>
      <charset val="129"/>
    </font>
    <font>
      <b/>
      <sz val="12"/>
      <color theme="1"/>
      <name val="휴먼명조"/>
      <charset val="129"/>
    </font>
    <font>
      <sz val="12"/>
      <color theme="1"/>
      <name val="휴먼명조"/>
      <charset val="129"/>
    </font>
    <font>
      <sz val="11"/>
      <color theme="1"/>
      <name val="휴먼명조"/>
      <charset val="129"/>
    </font>
    <font>
      <b/>
      <sz val="27"/>
      <color theme="1"/>
      <name val="HY헤드라인M"/>
      <family val="1"/>
      <charset val="129"/>
    </font>
    <font>
      <sz val="20"/>
      <color theme="1"/>
      <name val="휴먼명조"/>
      <charset val="129"/>
    </font>
    <font>
      <sz val="25"/>
      <color theme="1"/>
      <name val="휴먼명조"/>
      <charset val="129"/>
    </font>
    <font>
      <b/>
      <sz val="20"/>
      <color theme="1"/>
      <name val="휴먼명조"/>
      <charset val="129"/>
    </font>
    <font>
      <sz val="10"/>
      <color theme="1"/>
      <name val="휴먼명조"/>
      <charset val="129"/>
    </font>
    <font>
      <sz val="8"/>
      <color theme="1"/>
      <name val="휴먼명조"/>
      <charset val="129"/>
    </font>
    <font>
      <sz val="12"/>
      <color theme="0"/>
      <name val="휴먼명조"/>
      <charset val="129"/>
    </font>
    <font>
      <sz val="13"/>
      <color theme="1"/>
      <name val="휴먼명조"/>
      <charset val="129"/>
    </font>
    <font>
      <sz val="16"/>
      <color theme="1"/>
      <name val="HY헤드라인M"/>
      <family val="1"/>
      <charset val="129"/>
    </font>
    <font>
      <b/>
      <sz val="14"/>
      <color theme="0"/>
      <name val="HY헤드라인M"/>
      <family val="1"/>
      <charset val="129"/>
    </font>
    <font>
      <sz val="9"/>
      <color theme="1"/>
      <name val="휴먼명조"/>
      <charset val="129"/>
    </font>
    <font>
      <b/>
      <sz val="10"/>
      <color theme="1"/>
      <name val="휴먼명조"/>
      <charset val="129"/>
    </font>
    <font>
      <b/>
      <sz val="12"/>
      <color theme="1"/>
      <name val="맑은고딕"/>
      <family val="3"/>
      <charset val="129"/>
    </font>
    <font>
      <sz val="11"/>
      <color theme="1"/>
      <name val="맑은고딕"/>
      <family val="3"/>
      <charset val="129"/>
    </font>
    <font>
      <sz val="8"/>
      <color theme="1"/>
      <name val="맑은고딕"/>
      <family val="3"/>
      <charset val="129"/>
    </font>
    <font>
      <sz val="9"/>
      <color theme="1"/>
      <name val="맑은고딕"/>
      <family val="3"/>
      <charset val="129"/>
    </font>
    <font>
      <b/>
      <sz val="11"/>
      <color theme="1"/>
      <name val="휴먼명조"/>
      <charset val="129"/>
    </font>
    <font>
      <b/>
      <sz val="12"/>
      <color theme="1"/>
      <name val="휴먼명조"/>
      <family val="3"/>
      <charset val="129"/>
    </font>
    <font>
      <sz val="12"/>
      <color theme="1"/>
      <name val="휴먼명조"/>
      <family val="3"/>
      <charset val="129"/>
    </font>
    <font>
      <b/>
      <sz val="16"/>
      <color theme="1"/>
      <name val="휴먼명조"/>
      <family val="3"/>
      <charset val="129"/>
    </font>
    <font>
      <u/>
      <sz val="18"/>
      <color theme="1"/>
      <name val="HY헤드라인M"/>
      <family val="1"/>
      <charset val="129"/>
    </font>
    <font>
      <b/>
      <sz val="18"/>
      <color theme="1"/>
      <name val="휴먼명조"/>
      <charset val="129"/>
    </font>
    <font>
      <b/>
      <sz val="9.9"/>
      <color theme="1"/>
      <name val="휴먼명조"/>
      <charset val="129"/>
    </font>
    <font>
      <sz val="10"/>
      <color indexed="81"/>
      <name val="Tahoma"/>
      <family val="2"/>
    </font>
    <font>
      <sz val="10"/>
      <color indexed="81"/>
      <name val="돋움"/>
      <family val="3"/>
      <charset val="129"/>
    </font>
    <font>
      <b/>
      <sz val="10"/>
      <color indexed="81"/>
      <name val="돋움"/>
      <family val="3"/>
      <charset val="129"/>
    </font>
    <font>
      <b/>
      <sz val="10"/>
      <color indexed="81"/>
      <name val="Tahoma"/>
      <family val="2"/>
    </font>
    <font>
      <sz val="11"/>
      <color rgb="FF002060"/>
      <name val="맑은 고딕"/>
      <family val="3"/>
      <charset val="129"/>
      <scheme val="minor"/>
    </font>
    <font>
      <sz val="11"/>
      <color rgb="FF002060"/>
      <name val="맑은 고딕"/>
      <family val="3"/>
      <charset val="129"/>
    </font>
    <font>
      <sz val="10"/>
      <color rgb="FF002060"/>
      <name val="돋움"/>
      <family val="3"/>
      <charset val="129"/>
    </font>
    <font>
      <sz val="10"/>
      <color rgb="FF002060"/>
      <name val="맑은 고딕"/>
      <family val="3"/>
      <charset val="129"/>
      <scheme val="minor"/>
    </font>
    <font>
      <u/>
      <sz val="11"/>
      <color rgb="FF002060"/>
      <name val="맑은 고딕"/>
      <family val="3"/>
      <charset val="129"/>
      <scheme val="minor"/>
    </font>
    <font>
      <sz val="9"/>
      <color rgb="FF002060"/>
      <name val="맑은 고딕"/>
      <family val="3"/>
      <charset val="129"/>
      <scheme val="minor"/>
    </font>
  </fonts>
  <fills count="2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theme="7"/>
        <bgColor indexed="64"/>
      </patternFill>
    </fill>
    <fill>
      <patternFill patternType="solid">
        <fgColor theme="8"/>
        <bgColor indexed="64"/>
      </patternFill>
    </fill>
    <fill>
      <patternFill patternType="solid">
        <fgColor rgb="FF41DFDF"/>
        <bgColor indexed="64"/>
      </patternFill>
    </fill>
    <fill>
      <patternFill patternType="solid">
        <fgColor rgb="FFFA8EC7"/>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00FF"/>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41" fontId="5" fillId="0" borderId="0" applyFont="0" applyFill="0" applyBorder="0" applyAlignment="0" applyProtection="0">
      <alignment vertical="center"/>
    </xf>
    <xf numFmtId="0" fontId="45" fillId="0" borderId="0" applyNumberFormat="0" applyFill="0" applyBorder="0" applyAlignment="0" applyProtection="0">
      <alignment vertical="center"/>
    </xf>
    <xf numFmtId="41" fontId="5" fillId="0" borderId="0" applyFont="0" applyFill="0" applyBorder="0" applyAlignment="0" applyProtection="0">
      <alignment vertical="center"/>
    </xf>
  </cellStyleXfs>
  <cellXfs count="106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8" borderId="34" xfId="0" quotePrefix="1" applyFill="1" applyBorder="1">
      <alignment vertical="center"/>
    </xf>
    <xf numFmtId="0" fontId="0" fillId="8" borderId="32" xfId="0" applyFill="1" applyBorder="1">
      <alignment vertical="center"/>
    </xf>
    <xf numFmtId="0" fontId="0" fillId="8" borderId="35" xfId="0" quotePrefix="1" applyFill="1" applyBorder="1">
      <alignment vertical="center"/>
    </xf>
    <xf numFmtId="0" fontId="0" fillId="8" borderId="0" xfId="0" applyFill="1">
      <alignment vertical="center"/>
    </xf>
    <xf numFmtId="0" fontId="10" fillId="8" borderId="34" xfId="0" applyFont="1" applyFill="1" applyBorder="1">
      <alignment vertical="center"/>
    </xf>
    <xf numFmtId="0" fontId="0" fillId="8" borderId="25" xfId="0" applyFill="1" applyBorder="1">
      <alignment vertical="center"/>
    </xf>
    <xf numFmtId="0" fontId="0" fillId="8" borderId="26" xfId="0" applyFill="1" applyBorder="1">
      <alignment vertical="center"/>
    </xf>
    <xf numFmtId="0" fontId="0" fillId="8" borderId="34" xfId="0" applyFill="1" applyBorder="1">
      <alignment vertical="center"/>
    </xf>
    <xf numFmtId="0" fontId="11" fillId="0" borderId="0" xfId="0" applyFont="1">
      <alignment vertical="center"/>
    </xf>
    <xf numFmtId="0" fontId="0" fillId="0" borderId="0" xfId="0" applyAlignment="1">
      <alignment vertical="center" wrapText="1" shrinkToFit="1"/>
    </xf>
    <xf numFmtId="0" fontId="2" fillId="0" borderId="0" xfId="0" applyFont="1">
      <alignment vertical="center"/>
    </xf>
    <xf numFmtId="0" fontId="0" fillId="0" borderId="0" xfId="0" applyAlignment="1">
      <alignment vertical="center" wrapText="1"/>
    </xf>
    <xf numFmtId="0" fontId="3" fillId="0" borderId="0" xfId="0" applyFont="1">
      <alignment vertical="center"/>
    </xf>
    <xf numFmtId="0" fontId="0" fillId="9" borderId="0" xfId="0" applyFill="1">
      <alignment vertical="center"/>
    </xf>
    <xf numFmtId="0" fontId="3" fillId="9" borderId="0" xfId="0" applyFont="1" applyFill="1">
      <alignment vertical="center"/>
    </xf>
    <xf numFmtId="0" fontId="0" fillId="3" borderId="0" xfId="0" applyFill="1">
      <alignment vertical="center"/>
    </xf>
    <xf numFmtId="0" fontId="3" fillId="3" borderId="0" xfId="0" applyFont="1" applyFill="1">
      <alignment vertical="center"/>
    </xf>
    <xf numFmtId="0" fontId="0" fillId="8" borderId="0" xfId="0" applyFill="1" applyAlignment="1">
      <alignment horizontal="center" vertical="center"/>
    </xf>
    <xf numFmtId="0" fontId="0" fillId="8" borderId="0" xfId="0" quotePrefix="1" applyFill="1" applyAlignment="1">
      <alignment horizontal="center" vertical="center"/>
    </xf>
    <xf numFmtId="0" fontId="6" fillId="8" borderId="0" xfId="0" applyFont="1" applyFill="1">
      <alignment vertical="center"/>
    </xf>
    <xf numFmtId="0" fontId="7" fillId="8" borderId="0" xfId="0" applyFont="1" applyFill="1" applyAlignment="1">
      <alignment vertical="center" wrapText="1"/>
    </xf>
    <xf numFmtId="0" fontId="7" fillId="8" borderId="0" xfId="0" applyFont="1" applyFill="1" applyAlignment="1">
      <alignment horizontal="left" vertical="center"/>
    </xf>
    <xf numFmtId="0" fontId="16" fillId="8" borderId="0" xfId="0" applyFont="1" applyFill="1" applyAlignment="1">
      <alignment vertical="center" wrapText="1"/>
    </xf>
    <xf numFmtId="0" fontId="16" fillId="8" borderId="0" xfId="0" applyFont="1" applyFill="1" applyAlignment="1">
      <alignment horizontal="left" vertical="center" wrapText="1"/>
    </xf>
    <xf numFmtId="177" fontId="0" fillId="8" borderId="0" xfId="0" applyNumberFormat="1" applyFill="1" applyAlignment="1">
      <alignment horizontal="center" vertical="center"/>
    </xf>
    <xf numFmtId="0" fontId="0" fillId="9" borderId="0" xfId="0" quotePrefix="1" applyFill="1" applyAlignment="1">
      <alignment horizontal="center" vertical="center"/>
    </xf>
    <xf numFmtId="0" fontId="0" fillId="9" borderId="0" xfId="0" applyFill="1" applyAlignment="1">
      <alignment horizontal="center" vertical="center"/>
    </xf>
    <xf numFmtId="0" fontId="7" fillId="9" borderId="0" xfId="0" applyFont="1" applyFill="1">
      <alignment vertical="center"/>
    </xf>
    <xf numFmtId="0" fontId="16" fillId="9" borderId="0" xfId="0" applyFont="1" applyFill="1">
      <alignment vertical="center"/>
    </xf>
    <xf numFmtId="0" fontId="16" fillId="9" borderId="0" xfId="0" applyFont="1" applyFill="1" applyAlignment="1">
      <alignment vertical="center" wrapText="1"/>
    </xf>
    <xf numFmtId="0" fontId="0" fillId="9" borderId="0" xfId="0" applyFill="1" applyAlignment="1">
      <alignment horizontal="left" vertical="center"/>
    </xf>
    <xf numFmtId="0" fontId="6" fillId="3" borderId="0" xfId="0" applyFont="1" applyFill="1">
      <alignment vertical="center"/>
    </xf>
    <xf numFmtId="177" fontId="0" fillId="3" borderId="0" xfId="0" applyNumberFormat="1" applyFill="1" applyAlignment="1">
      <alignment horizontal="center" vertical="center"/>
    </xf>
    <xf numFmtId="0" fontId="0" fillId="3" borderId="0" xfId="0"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49" fontId="7" fillId="3" borderId="0" xfId="0" applyNumberFormat="1" applyFont="1" applyFill="1" applyAlignment="1">
      <alignment horizontal="center" vertical="center"/>
    </xf>
    <xf numFmtId="186" fontId="0" fillId="3" borderId="0" xfId="0" applyNumberFormat="1" applyFill="1" applyAlignment="1">
      <alignment horizontal="center" vertical="center"/>
    </xf>
    <xf numFmtId="0" fontId="0" fillId="3" borderId="0" xfId="0" applyFill="1" applyAlignment="1">
      <alignment horizontal="center" vertical="center"/>
    </xf>
    <xf numFmtId="0" fontId="11" fillId="3" borderId="0" xfId="0" applyFont="1" applyFill="1">
      <alignment vertical="center"/>
    </xf>
    <xf numFmtId="0" fontId="12" fillId="3" borderId="0" xfId="0" applyFont="1" applyFill="1">
      <alignment vertical="center"/>
    </xf>
    <xf numFmtId="0" fontId="3" fillId="3" borderId="0" xfId="0" applyFont="1" applyFill="1" applyAlignment="1">
      <alignment horizontal="left" vertical="center"/>
    </xf>
    <xf numFmtId="0" fontId="7" fillId="3" borderId="0" xfId="0" applyFont="1" applyFill="1">
      <alignment vertical="center"/>
    </xf>
    <xf numFmtId="0" fontId="18" fillId="3" borderId="0" xfId="0" applyFont="1" applyFill="1">
      <alignment vertical="center"/>
    </xf>
    <xf numFmtId="0" fontId="8" fillId="0" borderId="0" xfId="0" applyFont="1">
      <alignment vertical="center"/>
    </xf>
    <xf numFmtId="0" fontId="9" fillId="3" borderId="0" xfId="0" applyFont="1" applyFill="1">
      <alignment vertical="center"/>
    </xf>
    <xf numFmtId="0" fontId="9" fillId="3" borderId="0" xfId="0" applyFont="1" applyFill="1" applyAlignment="1">
      <alignment horizontal="center" vertical="center"/>
    </xf>
    <xf numFmtId="0" fontId="11" fillId="0" borderId="21" xfId="0" applyFont="1" applyBorder="1">
      <alignment vertical="center"/>
    </xf>
    <xf numFmtId="0" fontId="24" fillId="8" borderId="0" xfId="0" applyFont="1" applyFill="1">
      <alignment vertical="center"/>
    </xf>
    <xf numFmtId="0" fontId="25" fillId="8" borderId="0" xfId="0" applyFont="1" applyFill="1">
      <alignment vertical="center"/>
    </xf>
    <xf numFmtId="0" fontId="23" fillId="8" borderId="0" xfId="0" applyFont="1" applyFill="1">
      <alignment vertical="center"/>
    </xf>
    <xf numFmtId="0" fontId="26" fillId="9" borderId="0" xfId="0" applyFont="1" applyFill="1">
      <alignment vertical="center"/>
    </xf>
    <xf numFmtId="0" fontId="26" fillId="3" borderId="0" xfId="0" applyFont="1" applyFill="1">
      <alignment vertical="center"/>
    </xf>
    <xf numFmtId="0" fontId="30" fillId="3" borderId="0" xfId="0" applyFont="1" applyFill="1">
      <alignment vertical="center"/>
    </xf>
    <xf numFmtId="0" fontId="14" fillId="0" borderId="0" xfId="0" applyFont="1" applyAlignment="1">
      <alignment vertical="center" wrapText="1"/>
    </xf>
    <xf numFmtId="184" fontId="0" fillId="0" borderId="0" xfId="0" applyNumberFormat="1" applyAlignment="1">
      <alignment horizontal="left" vertical="center"/>
    </xf>
    <xf numFmtId="177" fontId="0" fillId="0" borderId="0" xfId="0" applyNumberFormat="1" applyAlignment="1">
      <alignment horizontal="left" vertical="center"/>
    </xf>
    <xf numFmtId="49" fontId="0" fillId="0" borderId="0" xfId="0" applyNumberFormat="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83" fontId="0" fillId="0" borderId="0" xfId="0" applyNumberFormat="1" applyAlignment="1">
      <alignment horizontal="left" vertical="center"/>
    </xf>
    <xf numFmtId="0" fontId="14" fillId="0" borderId="0" xfId="0" applyFont="1" applyAlignment="1">
      <alignment vertical="top" wrapText="1"/>
    </xf>
    <xf numFmtId="176" fontId="0" fillId="0" borderId="0" xfId="0" applyNumberFormat="1" applyAlignment="1">
      <alignment horizontal="left" vertical="center"/>
    </xf>
    <xf numFmtId="9" fontId="0" fillId="0" borderId="0" xfId="0" applyNumberFormat="1">
      <alignment vertical="center"/>
    </xf>
    <xf numFmtId="177" fontId="3" fillId="0" borderId="0" xfId="0" applyNumberFormat="1" applyFont="1">
      <alignment vertical="center"/>
    </xf>
    <xf numFmtId="9" fontId="3" fillId="0" borderId="0" xfId="0" applyNumberFormat="1" applyFont="1">
      <alignment vertical="center"/>
    </xf>
    <xf numFmtId="0" fontId="3" fillId="10" borderId="1" xfId="0" applyFont="1" applyFill="1" applyBorder="1" applyAlignment="1">
      <alignment horizontal="center" vertical="center"/>
    </xf>
    <xf numFmtId="9" fontId="3" fillId="10" borderId="1" xfId="0" applyNumberFormat="1" applyFont="1" applyFill="1" applyBorder="1">
      <alignment vertical="center"/>
    </xf>
    <xf numFmtId="0" fontId="3" fillId="10" borderId="1" xfId="0" applyFont="1" applyFill="1" applyBorder="1">
      <alignment vertical="center"/>
    </xf>
    <xf numFmtId="178" fontId="0" fillId="0" borderId="0" xfId="0" applyNumberFormat="1" applyAlignment="1">
      <alignment horizontal="left" vertical="center"/>
    </xf>
    <xf numFmtId="179" fontId="0" fillId="0" borderId="0" xfId="0" applyNumberFormat="1" applyAlignment="1">
      <alignment horizontal="left" vertical="center"/>
    </xf>
    <xf numFmtId="181" fontId="0" fillId="0" borderId="0" xfId="0" applyNumberFormat="1" applyAlignment="1">
      <alignment horizontal="left" vertical="center"/>
    </xf>
    <xf numFmtId="182" fontId="0" fillId="0" borderId="0" xfId="0" applyNumberFormat="1" applyAlignment="1">
      <alignment horizontal="left" vertical="center"/>
    </xf>
    <xf numFmtId="49" fontId="0" fillId="0" borderId="0" xfId="0" applyNumberFormat="1" applyAlignment="1">
      <alignment horizontal="left" vertical="center"/>
    </xf>
    <xf numFmtId="185" fontId="0" fillId="0" borderId="0" xfId="0" applyNumberForma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1" fillId="6" borderId="21" xfId="0" applyFont="1" applyFill="1" applyBorder="1">
      <alignment vertical="center"/>
    </xf>
    <xf numFmtId="0" fontId="11" fillId="6" borderId="0" xfId="0" applyFont="1" applyFill="1">
      <alignment vertical="center"/>
    </xf>
    <xf numFmtId="0" fontId="3" fillId="8" borderId="1" xfId="0" applyFont="1" applyFill="1" applyBorder="1" applyAlignment="1">
      <alignment horizontal="center" vertical="center"/>
    </xf>
    <xf numFmtId="0" fontId="3" fillId="17" borderId="1" xfId="0" applyFont="1" applyFill="1" applyBorder="1" applyAlignment="1">
      <alignment horizontal="center" vertical="center"/>
    </xf>
    <xf numFmtId="0" fontId="0" fillId="18" borderId="1" xfId="0" applyFill="1" applyBorder="1" applyAlignment="1">
      <alignment horizontal="center" vertical="center"/>
    </xf>
    <xf numFmtId="0" fontId="32" fillId="9" borderId="0" xfId="0" applyFont="1" applyFill="1">
      <alignment vertical="center"/>
    </xf>
    <xf numFmtId="0" fontId="33" fillId="9" borderId="0" xfId="0" applyFont="1" applyFill="1">
      <alignment vertical="center"/>
    </xf>
    <xf numFmtId="0" fontId="34" fillId="0" borderId="0" xfId="0" applyFont="1">
      <alignment vertical="center"/>
    </xf>
    <xf numFmtId="0" fontId="31" fillId="9" borderId="0" xfId="0" applyFont="1" applyFill="1" applyAlignment="1">
      <alignment vertical="top" wrapText="1"/>
    </xf>
    <xf numFmtId="0" fontId="31" fillId="9" borderId="0" xfId="0" applyFont="1" applyFill="1" applyAlignment="1">
      <alignment vertical="top"/>
    </xf>
    <xf numFmtId="0" fontId="0" fillId="20" borderId="0" xfId="0" applyFill="1">
      <alignment vertical="center"/>
    </xf>
    <xf numFmtId="0" fontId="24" fillId="20" borderId="0" xfId="0" applyFont="1" applyFill="1">
      <alignment vertical="center"/>
    </xf>
    <xf numFmtId="0" fontId="25" fillId="20" borderId="0" xfId="0" applyFont="1" applyFill="1">
      <alignment vertical="center"/>
    </xf>
    <xf numFmtId="0" fontId="23" fillId="20" borderId="0" xfId="0" applyFont="1" applyFill="1">
      <alignment vertical="center"/>
    </xf>
    <xf numFmtId="0" fontId="0" fillId="20" borderId="0" xfId="0" applyFill="1" applyAlignment="1">
      <alignment horizontal="center" vertical="center"/>
    </xf>
    <xf numFmtId="0" fontId="0" fillId="20" borderId="0" xfId="0" quotePrefix="1" applyFill="1" applyAlignment="1">
      <alignment horizontal="center" vertical="center"/>
    </xf>
    <xf numFmtId="0" fontId="38" fillId="0" borderId="0" xfId="0" applyFont="1">
      <alignment vertical="center"/>
    </xf>
    <xf numFmtId="0" fontId="39" fillId="0" borderId="0" xfId="0" applyFont="1">
      <alignment vertical="center"/>
    </xf>
    <xf numFmtId="0" fontId="41" fillId="0" borderId="83" xfId="0" applyFont="1" applyBorder="1" applyAlignment="1">
      <alignment horizontal="justify" vertical="center" wrapText="1"/>
    </xf>
    <xf numFmtId="0" fontId="41" fillId="0" borderId="85" xfId="0" applyFont="1" applyBorder="1" applyAlignment="1">
      <alignment horizontal="justify" vertical="center" wrapText="1"/>
    </xf>
    <xf numFmtId="0" fontId="40" fillId="0" borderId="82" xfId="0" applyFont="1" applyBorder="1" applyAlignment="1">
      <alignment horizontal="justify" vertical="center" wrapText="1"/>
    </xf>
    <xf numFmtId="0" fontId="41" fillId="0" borderId="82" xfId="0" applyFont="1" applyBorder="1" applyAlignment="1">
      <alignment horizontal="justify" vertical="center" wrapText="1"/>
    </xf>
    <xf numFmtId="0" fontId="41" fillId="6" borderId="83" xfId="0" applyFont="1" applyFill="1" applyBorder="1" applyAlignment="1">
      <alignment horizontal="justify" vertical="center" wrapText="1"/>
    </xf>
    <xf numFmtId="0" fontId="41" fillId="6" borderId="85" xfId="0" applyFont="1" applyFill="1" applyBorder="1" applyAlignment="1">
      <alignment horizontal="justify" vertical="center" wrapText="1"/>
    </xf>
    <xf numFmtId="0" fontId="44" fillId="0" borderId="82" xfId="0" applyFont="1" applyBorder="1" applyAlignment="1">
      <alignment horizontal="center" vertical="center" wrapText="1"/>
    </xf>
    <xf numFmtId="0" fontId="43" fillId="3" borderId="82" xfId="0" applyFont="1" applyFill="1" applyBorder="1" applyAlignment="1">
      <alignment horizontal="center" vertical="center" wrapText="1"/>
    </xf>
    <xf numFmtId="0" fontId="3" fillId="21" borderId="1" xfId="0" applyFont="1" applyFill="1" applyBorder="1" applyAlignment="1">
      <alignment horizontal="center" vertical="center"/>
    </xf>
    <xf numFmtId="0" fontId="14" fillId="0" borderId="0" xfId="0" applyFont="1" applyAlignment="1">
      <alignment horizontal="left" vertical="top" wrapText="1"/>
    </xf>
    <xf numFmtId="0" fontId="0" fillId="20" borderId="0" xfId="0" quotePrefix="1" applyFill="1" applyAlignment="1">
      <alignment horizontal="left" vertical="center"/>
    </xf>
    <xf numFmtId="0" fontId="48" fillId="0" borderId="1" xfId="0" applyFont="1" applyBorder="1" applyAlignment="1">
      <alignment horizontal="center" vertical="center"/>
    </xf>
    <xf numFmtId="0" fontId="48" fillId="0" borderId="0" xfId="0" applyFont="1">
      <alignment vertical="center"/>
    </xf>
    <xf numFmtId="0" fontId="48" fillId="0" borderId="17" xfId="0" applyFont="1" applyBorder="1">
      <alignment vertical="center"/>
    </xf>
    <xf numFmtId="0" fontId="48" fillId="0" borderId="18" xfId="0" applyFont="1" applyBorder="1">
      <alignment vertical="center"/>
    </xf>
    <xf numFmtId="0" fontId="48" fillId="0" borderId="19" xfId="0" applyFont="1" applyBorder="1">
      <alignment vertical="center"/>
    </xf>
    <xf numFmtId="0" fontId="48" fillId="0" borderId="20" xfId="0" applyFont="1" applyBorder="1" applyAlignment="1">
      <alignment vertical="center" wrapText="1" shrinkToFit="1"/>
    </xf>
    <xf numFmtId="0" fontId="48" fillId="0" borderId="21" xfId="0" applyFont="1" applyBorder="1" applyAlignment="1">
      <alignment vertical="center" wrapText="1" shrinkToFit="1"/>
    </xf>
    <xf numFmtId="0" fontId="48" fillId="0" borderId="20" xfId="0" applyFont="1" applyBorder="1">
      <alignment vertical="center"/>
    </xf>
    <xf numFmtId="0" fontId="48" fillId="0" borderId="21" xfId="0" applyFont="1" applyBorder="1">
      <alignment vertical="center"/>
    </xf>
    <xf numFmtId="0" fontId="56" fillId="0" borderId="20" xfId="0" applyFont="1" applyBorder="1">
      <alignment vertical="center"/>
    </xf>
    <xf numFmtId="0" fontId="48" fillId="0" borderId="22" xfId="0" applyFont="1" applyBorder="1">
      <alignment vertical="center"/>
    </xf>
    <xf numFmtId="0" fontId="48" fillId="0" borderId="24" xfId="0" applyFont="1" applyBorder="1">
      <alignment vertical="center"/>
    </xf>
    <xf numFmtId="0" fontId="48" fillId="0" borderId="0" xfId="0" applyFont="1" applyAlignment="1">
      <alignment vertical="center" wrapText="1"/>
    </xf>
    <xf numFmtId="0" fontId="57" fillId="0" borderId="0" xfId="0" applyFont="1">
      <alignment vertical="center"/>
    </xf>
    <xf numFmtId="0" fontId="54" fillId="0" borderId="0" xfId="0" applyFont="1">
      <alignment vertical="center"/>
    </xf>
    <xf numFmtId="0" fontId="49" fillId="0" borderId="0" xfId="0" applyFont="1" applyAlignment="1">
      <alignment horizontal="left" vertical="top" wrapText="1"/>
    </xf>
    <xf numFmtId="0" fontId="48" fillId="6" borderId="0" xfId="0" applyFont="1" applyFill="1" applyAlignment="1">
      <alignment horizontal="center" vertical="center" shrinkToFit="1"/>
    </xf>
    <xf numFmtId="0" fontId="60" fillId="0" borderId="0" xfId="0" applyFont="1" applyAlignment="1">
      <alignment horizontal="center" vertical="center" wrapText="1"/>
    </xf>
    <xf numFmtId="0" fontId="48" fillId="0" borderId="0" xfId="0" applyFont="1" applyAlignment="1">
      <alignment horizontal="center" vertical="center" wrapText="1"/>
    </xf>
    <xf numFmtId="0" fontId="0" fillId="8" borderId="0" xfId="0" applyFill="1" applyAlignment="1">
      <alignment horizontal="left" vertical="center"/>
    </xf>
    <xf numFmtId="0" fontId="49" fillId="0" borderId="1" xfId="0" applyFont="1" applyBorder="1" applyAlignment="1">
      <alignment horizontal="center" vertical="center"/>
    </xf>
    <xf numFmtId="0" fontId="49" fillId="0" borderId="59" xfId="0" applyFont="1" applyBorder="1" applyAlignment="1">
      <alignment horizontal="center" vertical="center"/>
    </xf>
    <xf numFmtId="0" fontId="0" fillId="11" borderId="1" xfId="0" applyFill="1" applyBorder="1" applyAlignment="1">
      <alignment horizontal="center" vertical="center"/>
    </xf>
    <xf numFmtId="0" fontId="17" fillId="0" borderId="1" xfId="0" applyFont="1" applyBorder="1" applyAlignment="1">
      <alignment horizontal="center" vertical="center"/>
    </xf>
    <xf numFmtId="0" fontId="68" fillId="0" borderId="1" xfId="0" applyFont="1" applyBorder="1" applyAlignment="1">
      <alignment horizontal="center" vertical="center"/>
    </xf>
    <xf numFmtId="0" fontId="68" fillId="0" borderId="35" xfId="0" applyFont="1" applyBorder="1" applyAlignment="1">
      <alignment vertical="top" wrapText="1"/>
    </xf>
    <xf numFmtId="0" fontId="68" fillId="0" borderId="0" xfId="0" applyFont="1" applyAlignment="1">
      <alignment vertical="top" wrapText="1"/>
    </xf>
    <xf numFmtId="0" fontId="68" fillId="0" borderId="36" xfId="0" applyFont="1" applyBorder="1" applyAlignment="1">
      <alignment vertical="top" wrapText="1"/>
    </xf>
    <xf numFmtId="0" fontId="68" fillId="0" borderId="35" xfId="0" applyFont="1" applyBorder="1" applyAlignment="1"/>
    <xf numFmtId="0" fontId="68" fillId="0" borderId="0" xfId="0" applyFont="1" applyAlignment="1"/>
    <xf numFmtId="0" fontId="68" fillId="0" borderId="36" xfId="0" applyFont="1" applyBorder="1" applyAlignment="1"/>
    <xf numFmtId="0" fontId="68" fillId="0" borderId="0" xfId="0" applyFont="1">
      <alignment vertical="center"/>
    </xf>
    <xf numFmtId="0" fontId="68" fillId="0" borderId="35" xfId="0" applyFont="1" applyBorder="1" applyAlignment="1">
      <alignment vertical="top"/>
    </xf>
    <xf numFmtId="0" fontId="68" fillId="0" borderId="0" xfId="0" applyFont="1" applyAlignment="1">
      <alignment vertical="top"/>
    </xf>
    <xf numFmtId="0" fontId="68" fillId="0" borderId="36" xfId="0" applyFont="1" applyBorder="1" applyAlignment="1">
      <alignment vertical="top"/>
    </xf>
    <xf numFmtId="0" fontId="24" fillId="3" borderId="0" xfId="0" applyFont="1" applyFill="1">
      <alignment vertical="center"/>
    </xf>
    <xf numFmtId="0" fontId="0" fillId="0" borderId="35" xfId="0" applyBorder="1">
      <alignment vertical="center"/>
    </xf>
    <xf numFmtId="0" fontId="0" fillId="0" borderId="29" xfId="0" applyBorder="1">
      <alignment vertical="center"/>
    </xf>
    <xf numFmtId="0" fontId="0" fillId="0" borderId="32" xfId="0" applyBorder="1">
      <alignment vertical="center"/>
    </xf>
    <xf numFmtId="0" fontId="0" fillId="0" borderId="28" xfId="0" applyBorder="1">
      <alignment vertical="center"/>
    </xf>
    <xf numFmtId="0" fontId="49" fillId="0" borderId="0" xfId="0" applyFont="1" applyAlignment="1">
      <alignment horizontal="center" vertical="center" wrapText="1"/>
    </xf>
    <xf numFmtId="0" fontId="49" fillId="0" borderId="0" xfId="0" applyFont="1" applyAlignment="1">
      <alignment vertical="center" wrapText="1"/>
    </xf>
    <xf numFmtId="0" fontId="49" fillId="0" borderId="0" xfId="0" applyFont="1">
      <alignment vertical="center"/>
    </xf>
    <xf numFmtId="0" fontId="49" fillId="3" borderId="29" xfId="0" applyFont="1" applyFill="1" applyBorder="1">
      <alignment vertical="center"/>
    </xf>
    <xf numFmtId="0" fontId="49" fillId="3" borderId="30" xfId="0" applyFont="1" applyFill="1" applyBorder="1">
      <alignment vertical="center"/>
    </xf>
    <xf numFmtId="0" fontId="48" fillId="0" borderId="0" xfId="0" applyFont="1" applyAlignment="1"/>
    <xf numFmtId="0" fontId="66" fillId="0" borderId="0" xfId="0" applyFont="1">
      <alignment vertical="center"/>
    </xf>
    <xf numFmtId="0" fontId="66" fillId="3" borderId="29" xfId="0" applyFont="1" applyFill="1" applyBorder="1">
      <alignment vertical="center"/>
    </xf>
    <xf numFmtId="0" fontId="49" fillId="0" borderId="35" xfId="0" applyFont="1" applyBorder="1" applyAlignment="1">
      <alignment horizontal="center" vertical="center" wrapText="1"/>
    </xf>
    <xf numFmtId="0" fontId="49" fillId="0" borderId="35" xfId="0" applyFont="1" applyBorder="1" applyAlignment="1">
      <alignment vertical="center" wrapText="1"/>
    </xf>
    <xf numFmtId="0" fontId="49" fillId="0" borderId="35" xfId="0" applyFont="1" applyBorder="1">
      <alignment vertical="center"/>
    </xf>
    <xf numFmtId="0" fontId="0" fillId="0" borderId="33" xfId="0" applyBorder="1">
      <alignment vertical="center"/>
    </xf>
    <xf numFmtId="0" fontId="0" fillId="0" borderId="36" xfId="0" applyBorder="1">
      <alignment vertical="center"/>
    </xf>
    <xf numFmtId="0" fontId="0" fillId="0" borderId="30" xfId="0" applyBorder="1">
      <alignment vertical="center"/>
    </xf>
    <xf numFmtId="0" fontId="63" fillId="0" borderId="1" xfId="0" applyFont="1" applyBorder="1" applyAlignment="1">
      <alignment horizontal="center" vertical="center"/>
    </xf>
    <xf numFmtId="0" fontId="63" fillId="0" borderId="59" xfId="0" applyFont="1" applyBorder="1" applyAlignment="1">
      <alignment horizontal="center" vertical="center"/>
    </xf>
    <xf numFmtId="0" fontId="0" fillId="8" borderId="0" xfId="0" applyFill="1" applyAlignment="1" applyProtection="1">
      <alignment horizontal="center" vertical="center"/>
      <protection locked="0"/>
    </xf>
    <xf numFmtId="0" fontId="66" fillId="2" borderId="96" xfId="0" applyFont="1" applyFill="1" applyBorder="1" applyProtection="1">
      <alignment vertical="center"/>
      <protection locked="0"/>
    </xf>
    <xf numFmtId="0" fontId="0" fillId="7" borderId="31" xfId="0" applyFill="1" applyBorder="1" applyAlignment="1">
      <alignment horizontal="center" vertical="center"/>
    </xf>
    <xf numFmtId="0" fontId="37" fillId="20" borderId="29" xfId="0" applyFont="1" applyFill="1" applyBorder="1" applyAlignment="1">
      <alignment horizontal="center" vertical="center"/>
    </xf>
    <xf numFmtId="0" fontId="18" fillId="3" borderId="0" xfId="0" applyFont="1" applyFill="1" applyAlignment="1">
      <alignment horizontal="center" vertical="center" shrinkToFit="1"/>
    </xf>
    <xf numFmtId="0" fontId="3" fillId="10" borderId="1" xfId="0" applyFont="1" applyFill="1" applyBorder="1" applyAlignment="1">
      <alignment horizontal="center" vertical="center" wrapText="1"/>
    </xf>
    <xf numFmtId="0" fontId="11" fillId="0" borderId="35" xfId="0" applyFont="1" applyBorder="1">
      <alignment vertical="center"/>
    </xf>
    <xf numFmtId="0" fontId="0" fillId="0" borderId="1" xfId="0" applyBorder="1">
      <alignment vertical="center"/>
    </xf>
    <xf numFmtId="0" fontId="67" fillId="0" borderId="34" xfId="0" applyFont="1" applyBorder="1" applyAlignment="1">
      <alignment vertical="center" wrapText="1"/>
    </xf>
    <xf numFmtId="0" fontId="67" fillId="0" borderId="32" xfId="0" applyFont="1" applyBorder="1" applyAlignment="1">
      <alignment vertical="center" wrapText="1"/>
    </xf>
    <xf numFmtId="0" fontId="68" fillId="0" borderId="32" xfId="0" applyFont="1" applyBorder="1">
      <alignment vertical="center"/>
    </xf>
    <xf numFmtId="0" fontId="68" fillId="0" borderId="33" xfId="0" applyFont="1" applyBorder="1">
      <alignment vertical="center"/>
    </xf>
    <xf numFmtId="0" fontId="0" fillId="8" borderId="28" xfId="0" applyFill="1" applyBorder="1">
      <alignment vertical="center"/>
    </xf>
    <xf numFmtId="0" fontId="0" fillId="8" borderId="29" xfId="0" applyFill="1" applyBorder="1">
      <alignment vertical="center"/>
    </xf>
    <xf numFmtId="0" fontId="77" fillId="2" borderId="31"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wrapText="1"/>
      <protection locked="0"/>
    </xf>
    <xf numFmtId="0" fontId="77" fillId="2" borderId="1" xfId="0" applyFont="1" applyFill="1" applyBorder="1" applyAlignment="1" applyProtection="1">
      <alignment horizontal="center" vertical="center" wrapText="1"/>
      <protection locked="0"/>
    </xf>
    <xf numFmtId="177" fontId="0" fillId="4" borderId="8" xfId="0" applyNumberFormat="1" applyFill="1" applyBorder="1" applyAlignment="1">
      <alignment horizontal="center" vertical="center"/>
    </xf>
    <xf numFmtId="177" fontId="0" fillId="4" borderId="7" xfId="0" applyNumberFormat="1" applyFill="1" applyBorder="1" applyAlignment="1">
      <alignment horizontal="center" vertical="center"/>
    </xf>
    <xf numFmtId="177" fontId="0" fillId="4" borderId="2" xfId="0" applyNumberFormat="1" applyFill="1" applyBorder="1" applyAlignment="1">
      <alignment horizontal="center" vertical="center"/>
    </xf>
    <xf numFmtId="177" fontId="0" fillId="4" borderId="4" xfId="0" applyNumberFormat="1" applyFill="1" applyBorder="1" applyAlignment="1">
      <alignment horizontal="center" vertical="center"/>
    </xf>
    <xf numFmtId="177" fontId="0" fillId="4" borderId="15" xfId="0" applyNumberFormat="1" applyFill="1" applyBorder="1" applyAlignment="1">
      <alignment horizontal="center" vertical="center"/>
    </xf>
    <xf numFmtId="177" fontId="0" fillId="4" borderId="14" xfId="0" applyNumberFormat="1" applyFill="1" applyBorder="1" applyAlignment="1">
      <alignment horizontal="center" vertical="center"/>
    </xf>
    <xf numFmtId="0" fontId="77" fillId="2" borderId="2" xfId="0" applyFont="1" applyFill="1" applyBorder="1" applyAlignment="1" applyProtection="1">
      <alignment horizontal="center" vertical="center"/>
      <protection locked="0"/>
    </xf>
    <xf numFmtId="0" fontId="77" fillId="2" borderId="3" xfId="0" applyFont="1" applyFill="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77" fillId="2" borderId="8" xfId="0" applyFont="1" applyFill="1" applyBorder="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0" fillId="0" borderId="34" xfId="0" applyFont="1" applyBorder="1" applyAlignment="1">
      <alignment horizontal="center" vertical="center"/>
    </xf>
    <xf numFmtId="0" fontId="70" fillId="0" borderId="32" xfId="0" applyFont="1" applyBorder="1" applyAlignment="1">
      <alignment horizontal="center" vertical="center"/>
    </xf>
    <xf numFmtId="0" fontId="49" fillId="0" borderId="0" xfId="0" applyFont="1" applyAlignment="1">
      <alignment horizontal="left" vertical="top" wrapText="1"/>
    </xf>
    <xf numFmtId="0" fontId="49" fillId="0" borderId="34" xfId="0" applyFont="1" applyBorder="1" applyAlignment="1">
      <alignment horizontal="left" vertical="center" wrapText="1"/>
    </xf>
    <xf numFmtId="0" fontId="49" fillId="0" borderId="32" xfId="0" applyFont="1" applyBorder="1" applyAlignment="1">
      <alignment horizontal="left" vertical="center" wrapText="1"/>
    </xf>
    <xf numFmtId="0" fontId="49" fillId="0" borderId="33" xfId="0" applyFont="1" applyBorder="1" applyAlignment="1">
      <alignment horizontal="left" vertical="center" wrapText="1"/>
    </xf>
    <xf numFmtId="0" fontId="49" fillId="0" borderId="35" xfId="0" applyFont="1" applyBorder="1" applyAlignment="1">
      <alignment horizontal="left" vertical="center" wrapText="1"/>
    </xf>
    <xf numFmtId="0" fontId="49" fillId="0" borderId="0" xfId="0" applyFont="1" applyAlignment="1">
      <alignment horizontal="left" vertical="center" wrapText="1"/>
    </xf>
    <xf numFmtId="0" fontId="49" fillId="0" borderId="36" xfId="0" applyFont="1" applyBorder="1" applyAlignment="1">
      <alignment horizontal="left" vertical="center" wrapText="1"/>
    </xf>
    <xf numFmtId="0" fontId="49" fillId="0" borderId="28" xfId="0" applyFont="1" applyBorder="1" applyAlignment="1">
      <alignment horizontal="left" vertical="center" wrapText="1"/>
    </xf>
    <xf numFmtId="0" fontId="49" fillId="0" borderId="29" xfId="0" applyFont="1" applyBorder="1" applyAlignment="1">
      <alignment horizontal="left" vertical="center" wrapText="1"/>
    </xf>
    <xf numFmtId="0" fontId="49" fillId="0" borderId="30" xfId="0" applyFont="1" applyBorder="1" applyAlignment="1">
      <alignment horizontal="left" vertical="center" wrapText="1"/>
    </xf>
    <xf numFmtId="0" fontId="66" fillId="3" borderId="34" xfId="0" applyFont="1" applyFill="1" applyBorder="1" applyAlignment="1">
      <alignment horizontal="center" vertical="center" wrapText="1"/>
    </xf>
    <xf numFmtId="0" fontId="66" fillId="3" borderId="32" xfId="0" applyFont="1" applyFill="1" applyBorder="1" applyAlignment="1">
      <alignment horizontal="center" vertical="center"/>
    </xf>
    <xf numFmtId="0" fontId="66" fillId="3" borderId="33" xfId="0" applyFont="1" applyFill="1" applyBorder="1" applyAlignment="1">
      <alignment horizontal="center" vertical="center"/>
    </xf>
    <xf numFmtId="0" fontId="66" fillId="3" borderId="28" xfId="0" applyFont="1" applyFill="1" applyBorder="1" applyAlignment="1">
      <alignment horizontal="center" vertical="center"/>
    </xf>
    <xf numFmtId="0" fontId="66" fillId="3" borderId="29" xfId="0" applyFont="1" applyFill="1" applyBorder="1" applyAlignment="1">
      <alignment horizontal="center" vertical="center"/>
    </xf>
    <xf numFmtId="0" fontId="66" fillId="3" borderId="30" xfId="0" applyFont="1" applyFill="1" applyBorder="1" applyAlignment="1">
      <alignment horizontal="center" vertical="center"/>
    </xf>
    <xf numFmtId="0" fontId="49" fillId="3" borderId="32" xfId="0" applyFont="1" applyFill="1" applyBorder="1" applyAlignment="1">
      <alignment horizontal="left" vertical="center"/>
    </xf>
    <xf numFmtId="0" fontId="49" fillId="3" borderId="33" xfId="0" applyFont="1" applyFill="1" applyBorder="1" applyAlignment="1">
      <alignment horizontal="left" vertical="center"/>
    </xf>
    <xf numFmtId="0" fontId="63" fillId="2" borderId="1" xfId="0" applyFont="1" applyFill="1" applyBorder="1" applyAlignment="1" applyProtection="1">
      <alignment horizontal="center" vertical="center"/>
      <protection locked="0"/>
    </xf>
    <xf numFmtId="0" fontId="63" fillId="2" borderId="44" xfId="0" applyFont="1" applyFill="1" applyBorder="1" applyAlignment="1" applyProtection="1">
      <alignment horizontal="center" vertical="center"/>
      <protection locked="0"/>
    </xf>
    <xf numFmtId="0" fontId="65" fillId="0" borderId="1" xfId="0" applyFont="1" applyBorder="1" applyAlignment="1">
      <alignment horizontal="center" vertical="center" wrapText="1"/>
    </xf>
    <xf numFmtId="0" fontId="65" fillId="0" borderId="42"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5" xfId="0" applyFont="1" applyBorder="1" applyAlignment="1">
      <alignment horizontal="center" vertical="center" wrapText="1"/>
    </xf>
    <xf numFmtId="0" fontId="63" fillId="0" borderId="1" xfId="0" applyFont="1" applyBorder="1" applyAlignment="1">
      <alignment horizontal="center" vertical="center"/>
    </xf>
    <xf numFmtId="0" fontId="63" fillId="0" borderId="1" xfId="0" applyFont="1" applyBorder="1" applyAlignment="1">
      <alignment horizontal="center" vertical="center" wrapText="1"/>
    </xf>
    <xf numFmtId="0" fontId="65" fillId="0" borderId="59" xfId="0" applyFont="1" applyBorder="1" applyAlignment="1">
      <alignment horizontal="center" vertical="center"/>
    </xf>
    <xf numFmtId="0" fontId="65" fillId="0" borderId="63" xfId="0" applyFont="1" applyBorder="1" applyAlignment="1">
      <alignment horizontal="center" vertical="center"/>
    </xf>
    <xf numFmtId="0" fontId="65" fillId="0" borderId="1" xfId="0" applyFont="1" applyBorder="1" applyAlignment="1">
      <alignment horizontal="center" vertical="center"/>
    </xf>
    <xf numFmtId="0" fontId="65" fillId="0" borderId="42" xfId="0" applyFont="1" applyBorder="1" applyAlignment="1">
      <alignment horizontal="center" vertical="center"/>
    </xf>
    <xf numFmtId="0" fontId="63" fillId="0" borderId="44" xfId="0" applyFont="1" applyBorder="1" applyAlignment="1">
      <alignment horizontal="center" vertical="center"/>
    </xf>
    <xf numFmtId="0" fontId="65" fillId="0" borderId="1" xfId="0" applyFont="1" applyBorder="1" applyAlignment="1">
      <alignment horizontal="left" vertical="center" wrapText="1"/>
    </xf>
    <xf numFmtId="0" fontId="65" fillId="0" borderId="42" xfId="0" applyFont="1" applyBorder="1" applyAlignment="1">
      <alignment horizontal="left" vertical="center" wrapText="1"/>
    </xf>
    <xf numFmtId="0" fontId="64" fillId="0" borderId="1" xfId="0" applyFont="1" applyBorder="1" applyAlignment="1">
      <alignment horizontal="center" vertical="center"/>
    </xf>
    <xf numFmtId="0" fontId="64" fillId="0" borderId="42" xfId="0" applyFont="1" applyBorder="1" applyAlignment="1">
      <alignment horizontal="center" vertical="center"/>
    </xf>
    <xf numFmtId="0" fontId="62" fillId="6" borderId="93" xfId="0" applyFont="1" applyFill="1" applyBorder="1" applyAlignment="1">
      <alignment horizontal="center" vertical="center"/>
    </xf>
    <xf numFmtId="0" fontId="62" fillId="6" borderId="94" xfId="0" applyFont="1" applyFill="1" applyBorder="1" applyAlignment="1">
      <alignment horizontal="center" vertical="center"/>
    </xf>
    <xf numFmtId="0" fontId="62" fillId="0" borderId="62" xfId="0" applyFont="1" applyBorder="1" applyAlignment="1">
      <alignment horizontal="center" vertical="center" wrapText="1"/>
    </xf>
    <xf numFmtId="0" fontId="62" fillId="0" borderId="59" xfId="0" applyFont="1" applyBorder="1" applyAlignment="1">
      <alignment horizontal="center" vertical="center"/>
    </xf>
    <xf numFmtId="0" fontId="62" fillId="0" borderId="41" xfId="0" applyFont="1" applyBorder="1" applyAlignment="1">
      <alignment horizontal="center" vertical="center"/>
    </xf>
    <xf numFmtId="0" fontId="62" fillId="0" borderId="1"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63" fillId="0" borderId="59" xfId="0" applyFont="1" applyBorder="1" applyAlignment="1">
      <alignment horizontal="center" vertical="center"/>
    </xf>
    <xf numFmtId="0" fontId="63" fillId="2" borderId="59" xfId="0" applyFont="1" applyFill="1" applyBorder="1" applyAlignment="1" applyProtection="1">
      <alignment horizontal="center" vertical="center"/>
      <protection locked="0"/>
    </xf>
    <xf numFmtId="0" fontId="62" fillId="6" borderId="60" xfId="0" applyFont="1" applyFill="1" applyBorder="1" applyAlignment="1">
      <alignment horizontal="center" vertical="center"/>
    </xf>
    <xf numFmtId="0" fontId="62" fillId="6" borderId="32" xfId="0" applyFont="1" applyFill="1" applyBorder="1" applyAlignment="1">
      <alignment horizontal="center" vertical="center"/>
    </xf>
    <xf numFmtId="0" fontId="62" fillId="6" borderId="61" xfId="0" applyFont="1" applyFill="1" applyBorder="1" applyAlignment="1">
      <alignment horizontal="center" vertical="center"/>
    </xf>
    <xf numFmtId="0" fontId="62" fillId="6" borderId="92" xfId="0" applyFont="1" applyFill="1" applyBorder="1" applyAlignment="1">
      <alignment horizontal="center" vertical="center"/>
    </xf>
    <xf numFmtId="0" fontId="62" fillId="6" borderId="56" xfId="0" applyFont="1" applyFill="1" applyBorder="1" applyAlignment="1">
      <alignment horizontal="center" vertical="center"/>
    </xf>
    <xf numFmtId="0" fontId="62" fillId="6" borderId="90" xfId="0" applyFont="1" applyFill="1" applyBorder="1" applyAlignment="1">
      <alignment horizontal="center" vertical="center"/>
    </xf>
    <xf numFmtId="0" fontId="62" fillId="6" borderId="65" xfId="0" applyFont="1" applyFill="1" applyBorder="1" applyAlignment="1">
      <alignment horizontal="center" vertical="center" wrapText="1"/>
    </xf>
    <xf numFmtId="0" fontId="62" fillId="6" borderId="91" xfId="0" applyFont="1" applyFill="1" applyBorder="1" applyAlignment="1">
      <alignment horizontal="center" vertical="center" wrapText="1"/>
    </xf>
    <xf numFmtId="0" fontId="62" fillId="6" borderId="8" xfId="0" applyFont="1" applyFill="1" applyBorder="1" applyAlignment="1">
      <alignment horizontal="center" vertical="center"/>
    </xf>
    <xf numFmtId="0" fontId="62" fillId="6" borderId="6" xfId="0" applyFont="1" applyFill="1" applyBorder="1" applyAlignment="1">
      <alignment horizontal="center" vertical="center"/>
    </xf>
    <xf numFmtId="0" fontId="62" fillId="6" borderId="7" xfId="0" applyFont="1" applyFill="1" applyBorder="1" applyAlignment="1">
      <alignment horizontal="center" vertical="center"/>
    </xf>
    <xf numFmtId="0" fontId="77" fillId="2" borderId="1" xfId="0" applyFont="1" applyFill="1" applyBorder="1" applyAlignment="1" applyProtection="1">
      <alignment horizontal="center" vertical="center" wrapText="1"/>
      <protection locked="0"/>
    </xf>
    <xf numFmtId="0" fontId="10" fillId="19" borderId="1" xfId="0" applyFont="1" applyFill="1" applyBorder="1" applyAlignment="1">
      <alignment horizontal="center" vertical="center" wrapText="1"/>
    </xf>
    <xf numFmtId="0" fontId="10" fillId="4" borderId="1" xfId="0" applyFont="1" applyFill="1" applyBorder="1" applyAlignment="1">
      <alignment horizontal="center" vertical="center"/>
    </xf>
    <xf numFmtId="190" fontId="10" fillId="4" borderId="1" xfId="0" applyNumberFormat="1" applyFont="1" applyFill="1" applyBorder="1" applyAlignment="1">
      <alignment horizontal="center" vertical="center"/>
    </xf>
    <xf numFmtId="0" fontId="62" fillId="6" borderId="33" xfId="0" applyFont="1" applyFill="1" applyBorder="1" applyAlignment="1">
      <alignment horizontal="center" vertical="center"/>
    </xf>
    <xf numFmtId="0" fontId="62" fillId="6" borderId="95" xfId="0" applyFont="1" applyFill="1" applyBorder="1" applyAlignment="1">
      <alignment horizontal="center" vertical="center"/>
    </xf>
    <xf numFmtId="0" fontId="64" fillId="0" borderId="59" xfId="0" applyFont="1" applyBorder="1" applyAlignment="1">
      <alignment horizontal="center" vertical="center"/>
    </xf>
    <xf numFmtId="0" fontId="64" fillId="0" borderId="63" xfId="0" applyFont="1" applyBorder="1" applyAlignment="1">
      <alignment horizontal="center" vertical="center"/>
    </xf>
    <xf numFmtId="190" fontId="10" fillId="4" borderId="42" xfId="0" applyNumberFormat="1" applyFont="1" applyFill="1" applyBorder="1" applyAlignment="1">
      <alignment horizontal="center" vertical="center"/>
    </xf>
    <xf numFmtId="0" fontId="77" fillId="2" borderId="60" xfId="0" applyFont="1" applyFill="1" applyBorder="1" applyAlignment="1" applyProtection="1">
      <alignment horizontal="center" vertical="center" wrapText="1"/>
      <protection locked="0"/>
    </xf>
    <xf numFmtId="0" fontId="77" fillId="2" borderId="32" xfId="0" applyFont="1" applyFill="1" applyBorder="1" applyAlignment="1" applyProtection="1">
      <alignment horizontal="center" vertical="center" wrapText="1"/>
      <protection locked="0"/>
    </xf>
    <xf numFmtId="0" fontId="77" fillId="2" borderId="61" xfId="0" applyFont="1" applyFill="1" applyBorder="1" applyAlignment="1" applyProtection="1">
      <alignment horizontal="center" vertical="center" wrapText="1"/>
      <protection locked="0"/>
    </xf>
    <xf numFmtId="0" fontId="77" fillId="2" borderId="22" xfId="0" applyFont="1" applyFill="1" applyBorder="1" applyAlignment="1" applyProtection="1">
      <alignment horizontal="center" vertical="center" wrapText="1"/>
      <protection locked="0"/>
    </xf>
    <xf numFmtId="0" fontId="77" fillId="2" borderId="23" xfId="0" applyFont="1" applyFill="1" applyBorder="1" applyAlignment="1" applyProtection="1">
      <alignment horizontal="center" vertical="center" wrapText="1"/>
      <protection locked="0"/>
    </xf>
    <xf numFmtId="0" fontId="77" fillId="2" borderId="24" xfId="0" applyFont="1" applyFill="1" applyBorder="1" applyAlignment="1" applyProtection="1">
      <alignment horizontal="center" vertical="center" wrapText="1"/>
      <protection locked="0"/>
    </xf>
    <xf numFmtId="0" fontId="10" fillId="19" borderId="60" xfId="0" applyFont="1" applyFill="1" applyBorder="1" applyAlignment="1">
      <alignment horizontal="center" vertical="center" wrapText="1"/>
    </xf>
    <xf numFmtId="0" fontId="10" fillId="19" borderId="61" xfId="0" applyFont="1" applyFill="1" applyBorder="1" applyAlignment="1">
      <alignment horizontal="center" vertical="center" wrapText="1"/>
    </xf>
    <xf numFmtId="0" fontId="10" fillId="19" borderId="20" xfId="0" applyFont="1" applyFill="1" applyBorder="1" applyAlignment="1">
      <alignment horizontal="center" vertical="center" wrapText="1"/>
    </xf>
    <xf numFmtId="0" fontId="10" fillId="19" borderId="21" xfId="0" applyFont="1" applyFill="1" applyBorder="1" applyAlignment="1">
      <alignment horizontal="center" vertical="center" wrapText="1"/>
    </xf>
    <xf numFmtId="0" fontId="10" fillId="19" borderId="50"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77" fillId="2" borderId="65" xfId="0" applyFont="1" applyFill="1" applyBorder="1" applyAlignment="1" applyProtection="1">
      <alignment horizontal="center" vertical="center" wrapText="1"/>
      <protection locked="0"/>
    </xf>
    <xf numFmtId="0" fontId="77" fillId="2" borderId="77" xfId="0" applyFont="1" applyFill="1" applyBorder="1" applyAlignment="1" applyProtection="1">
      <alignment horizontal="center" vertical="center" wrapText="1"/>
      <protection locked="0"/>
    </xf>
    <xf numFmtId="0" fontId="77" fillId="2" borderId="78" xfId="0" applyFont="1" applyFill="1" applyBorder="1" applyAlignment="1" applyProtection="1">
      <alignment horizontal="center" vertical="center" wrapText="1"/>
      <protection locked="0"/>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wrapText="1"/>
    </xf>
    <xf numFmtId="194" fontId="80" fillId="2" borderId="25" xfId="0" quotePrefix="1" applyNumberFormat="1" applyFont="1" applyFill="1" applyBorder="1" applyAlignment="1" applyProtection="1">
      <alignment horizontal="center" vertical="center" wrapText="1"/>
      <protection locked="0"/>
    </xf>
    <xf numFmtId="194" fontId="80" fillId="2" borderId="26" xfId="0" quotePrefix="1" applyNumberFormat="1" applyFont="1" applyFill="1" applyBorder="1" applyAlignment="1" applyProtection="1">
      <alignment horizontal="center" vertical="center" wrapText="1"/>
      <protection locked="0"/>
    </xf>
    <xf numFmtId="194" fontId="80" fillId="2" borderId="27" xfId="0" quotePrefix="1" applyNumberFormat="1" applyFont="1" applyFill="1" applyBorder="1" applyAlignment="1" applyProtection="1">
      <alignment horizontal="center" vertical="center" wrapText="1"/>
      <protection locked="0"/>
    </xf>
    <xf numFmtId="0" fontId="77" fillId="2" borderId="25" xfId="0" applyFont="1" applyFill="1" applyBorder="1" applyAlignment="1" applyProtection="1">
      <alignment horizontal="center" vertical="center"/>
      <protection locked="0"/>
    </xf>
    <xf numFmtId="0" fontId="77" fillId="2" borderId="26" xfId="0" applyFont="1" applyFill="1" applyBorder="1" applyAlignment="1" applyProtection="1">
      <alignment horizontal="center" vertical="center"/>
      <protection locked="0"/>
    </xf>
    <xf numFmtId="0" fontId="77" fillId="2" borderId="27" xfId="0" applyFont="1" applyFill="1" applyBorder="1" applyAlignment="1" applyProtection="1">
      <alignment horizontal="center" vertical="center"/>
      <protection locked="0"/>
    </xf>
    <xf numFmtId="187" fontId="0" fillId="6" borderId="25" xfId="0" applyNumberFormat="1" applyFill="1" applyBorder="1" applyAlignment="1">
      <alignment horizontal="center" vertical="center"/>
    </xf>
    <xf numFmtId="187" fontId="0" fillId="6" borderId="27" xfId="0" applyNumberFormat="1" applyFill="1" applyBorder="1" applyAlignment="1">
      <alignment horizontal="center" vertical="center"/>
    </xf>
    <xf numFmtId="187" fontId="77" fillId="2" borderId="25" xfId="0" applyNumberFormat="1" applyFont="1" applyFill="1" applyBorder="1" applyAlignment="1" applyProtection="1">
      <alignment horizontal="center" vertical="center"/>
      <protection locked="0"/>
    </xf>
    <xf numFmtId="187" fontId="77" fillId="2" borderId="26" xfId="0" applyNumberFormat="1" applyFont="1" applyFill="1" applyBorder="1" applyAlignment="1" applyProtection="1">
      <alignment horizontal="center" vertical="center"/>
      <protection locked="0"/>
    </xf>
    <xf numFmtId="187" fontId="77" fillId="2" borderId="27" xfId="0" applyNumberFormat="1" applyFont="1" applyFill="1" applyBorder="1" applyAlignment="1" applyProtection="1">
      <alignment horizontal="center" vertical="center"/>
      <protection locked="0"/>
    </xf>
    <xf numFmtId="0" fontId="62" fillId="6" borderId="34" xfId="0" applyFont="1" applyFill="1" applyBorder="1" applyAlignment="1">
      <alignment horizontal="center" vertical="center"/>
    </xf>
    <xf numFmtId="0" fontId="62" fillId="6" borderId="55" xfId="0" applyFont="1" applyFill="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197" fontId="80" fillId="2" borderId="25" xfId="0" quotePrefix="1" applyNumberFormat="1" applyFont="1" applyFill="1" applyBorder="1" applyAlignment="1" applyProtection="1">
      <alignment horizontal="center" vertical="center" wrapText="1"/>
      <protection locked="0"/>
    </xf>
    <xf numFmtId="197" fontId="80" fillId="2" borderId="26" xfId="0" quotePrefix="1" applyNumberFormat="1" applyFont="1" applyFill="1" applyBorder="1" applyAlignment="1" applyProtection="1">
      <alignment horizontal="center" vertical="center" wrapText="1"/>
      <protection locked="0"/>
    </xf>
    <xf numFmtId="197" fontId="80" fillId="2" borderId="27" xfId="0" quotePrefix="1" applyNumberFormat="1" applyFont="1" applyFill="1" applyBorder="1" applyAlignment="1" applyProtection="1">
      <alignment horizontal="center" vertical="center" wrapText="1"/>
      <protection locked="0"/>
    </xf>
    <xf numFmtId="187" fontId="77" fillId="2" borderId="34" xfId="0" applyNumberFormat="1" applyFont="1" applyFill="1" applyBorder="1" applyAlignment="1" applyProtection="1">
      <alignment horizontal="center" vertical="center"/>
      <protection locked="0"/>
    </xf>
    <xf numFmtId="187" fontId="77" fillId="2" borderId="32" xfId="0" applyNumberFormat="1" applyFont="1" applyFill="1" applyBorder="1" applyAlignment="1" applyProtection="1">
      <alignment horizontal="center" vertical="center"/>
      <protection locked="0"/>
    </xf>
    <xf numFmtId="187" fontId="77" fillId="2" borderId="33" xfId="0" applyNumberFormat="1" applyFont="1" applyFill="1" applyBorder="1" applyAlignment="1" applyProtection="1">
      <alignment horizontal="center" vertical="center"/>
      <protection locked="0"/>
    </xf>
    <xf numFmtId="0" fontId="16" fillId="6" borderId="34"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80" fillId="2" borderId="34" xfId="0" applyFont="1" applyFill="1" applyBorder="1" applyAlignment="1" applyProtection="1">
      <alignment horizontal="center" vertical="center" wrapText="1"/>
      <protection locked="0"/>
    </xf>
    <xf numFmtId="0" fontId="80" fillId="2" borderId="32" xfId="0" applyFont="1" applyFill="1" applyBorder="1" applyAlignment="1" applyProtection="1">
      <alignment horizontal="center" vertical="center" wrapText="1"/>
      <protection locked="0"/>
    </xf>
    <xf numFmtId="0" fontId="80" fillId="2" borderId="33" xfId="0" applyFont="1" applyFill="1" applyBorder="1" applyAlignment="1" applyProtection="1">
      <alignment horizontal="center" vertical="center" wrapText="1"/>
      <protection locked="0"/>
    </xf>
    <xf numFmtId="0" fontId="80" fillId="2" borderId="28" xfId="0" applyFont="1" applyFill="1" applyBorder="1" applyAlignment="1" applyProtection="1">
      <alignment horizontal="center" vertical="center" wrapText="1"/>
      <protection locked="0"/>
    </xf>
    <xf numFmtId="0" fontId="80" fillId="2" borderId="29" xfId="0" applyFont="1" applyFill="1" applyBorder="1" applyAlignment="1" applyProtection="1">
      <alignment horizontal="center" vertical="center" wrapText="1"/>
      <protection locked="0"/>
    </xf>
    <xf numFmtId="0" fontId="80" fillId="2" borderId="30" xfId="0" applyFont="1" applyFill="1" applyBorder="1" applyAlignment="1" applyProtection="1">
      <alignment horizontal="center" vertical="center" wrapText="1"/>
      <protection locked="0"/>
    </xf>
    <xf numFmtId="0" fontId="10" fillId="4" borderId="41" xfId="0" applyFont="1" applyFill="1" applyBorder="1" applyAlignment="1">
      <alignment horizontal="center" vertical="center" wrapText="1"/>
    </xf>
    <xf numFmtId="0" fontId="10" fillId="4" borderId="41" xfId="0" applyFont="1" applyFill="1" applyBorder="1" applyAlignment="1">
      <alignment horizontal="center" vertical="center"/>
    </xf>
    <xf numFmtId="0" fontId="10" fillId="4" borderId="1" xfId="0" applyFont="1" applyFill="1" applyBorder="1" applyAlignment="1">
      <alignment horizontal="center" vertical="center" wrapText="1"/>
    </xf>
    <xf numFmtId="9" fontId="10" fillId="4" borderId="1" xfId="0" applyNumberFormat="1" applyFont="1" applyFill="1" applyBorder="1" applyAlignment="1">
      <alignment horizontal="center" vertical="center"/>
    </xf>
    <xf numFmtId="0" fontId="3" fillId="0" borderId="65" xfId="0" applyFont="1" applyBorder="1" applyAlignment="1">
      <alignment horizontal="center" vertical="center"/>
    </xf>
    <xf numFmtId="0" fontId="82" fillId="2" borderId="1" xfId="0" applyFont="1" applyFill="1" applyBorder="1" applyAlignment="1" applyProtection="1">
      <alignment horizontal="center" vertical="center" wrapText="1"/>
      <protection locked="0"/>
    </xf>
    <xf numFmtId="0" fontId="3" fillId="0" borderId="66" xfId="0" applyFont="1" applyBorder="1" applyAlignment="1">
      <alignment horizontal="center" vertical="center"/>
    </xf>
    <xf numFmtId="190" fontId="10" fillId="4" borderId="44" xfId="0" applyNumberFormat="1" applyFont="1" applyFill="1" applyBorder="1" applyAlignment="1">
      <alignment horizontal="center" vertical="center"/>
    </xf>
    <xf numFmtId="190" fontId="10" fillId="4" borderId="45" xfId="0" applyNumberFormat="1" applyFont="1" applyFill="1" applyBorder="1" applyAlignment="1">
      <alignment horizontal="center" vertical="center"/>
    </xf>
    <xf numFmtId="0" fontId="63" fillId="0" borderId="44" xfId="0" applyFont="1" applyBorder="1" applyAlignment="1">
      <alignment horizontal="center" vertical="center" wrapText="1"/>
    </xf>
    <xf numFmtId="0" fontId="3" fillId="12" borderId="25" xfId="0" applyFont="1" applyFill="1" applyBorder="1" applyAlignment="1">
      <alignment horizontal="left" vertical="center"/>
    </xf>
    <xf numFmtId="0" fontId="3" fillId="12" borderId="26" xfId="0" applyFont="1" applyFill="1" applyBorder="1" applyAlignment="1">
      <alignment horizontal="left" vertical="center"/>
    </xf>
    <xf numFmtId="0" fontId="3" fillId="12" borderId="27" xfId="0" applyFont="1" applyFill="1" applyBorder="1" applyAlignment="1">
      <alignment horizontal="left" vertical="center"/>
    </xf>
    <xf numFmtId="0" fontId="77" fillId="2" borderId="1" xfId="0" applyFont="1" applyFill="1" applyBorder="1" applyAlignment="1" applyProtection="1">
      <alignment horizontal="center" vertical="center"/>
      <protection locked="0"/>
    </xf>
    <xf numFmtId="0" fontId="77" fillId="2" borderId="60" xfId="0" quotePrefix="1" applyFont="1" applyFill="1" applyBorder="1" applyAlignment="1" applyProtection="1">
      <alignment horizontal="center" vertical="center" wrapText="1"/>
      <protection locked="0"/>
    </xf>
    <xf numFmtId="0" fontId="10" fillId="4" borderId="44"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44" xfId="0" applyFill="1" applyBorder="1" applyAlignment="1">
      <alignment horizontal="center" vertical="center" wrapText="1"/>
    </xf>
    <xf numFmtId="0" fontId="77" fillId="2" borderId="39" xfId="0" applyFont="1" applyFill="1" applyBorder="1" applyAlignment="1" applyProtection="1">
      <alignment horizontal="center" vertical="center" wrapText="1"/>
      <protection locked="0"/>
    </xf>
    <xf numFmtId="0" fontId="77" fillId="2" borderId="44" xfId="0" applyFont="1" applyFill="1" applyBorder="1" applyAlignment="1" applyProtection="1">
      <alignment horizontal="center" vertical="center" wrapText="1"/>
      <protection locked="0"/>
    </xf>
    <xf numFmtId="187" fontId="77" fillId="2" borderId="39" xfId="0" applyNumberFormat="1" applyFont="1" applyFill="1" applyBorder="1" applyAlignment="1" applyProtection="1">
      <alignment horizontal="center" vertical="center"/>
      <protection locked="0"/>
    </xf>
    <xf numFmtId="187" fontId="77" fillId="2" borderId="40" xfId="0" applyNumberFormat="1" applyFont="1" applyFill="1" applyBorder="1" applyAlignment="1" applyProtection="1">
      <alignment horizontal="center" vertical="center"/>
      <protection locked="0"/>
    </xf>
    <xf numFmtId="187" fontId="77" fillId="2" borderId="1" xfId="0" applyNumberFormat="1" applyFont="1" applyFill="1" applyBorder="1" applyAlignment="1" applyProtection="1">
      <alignment horizontal="center" vertical="center"/>
      <protection locked="0"/>
    </xf>
    <xf numFmtId="187" fontId="77" fillId="2" borderId="42" xfId="0" applyNumberFormat="1" applyFont="1" applyFill="1" applyBorder="1" applyAlignment="1" applyProtection="1">
      <alignment horizontal="center" vertical="center"/>
      <protection locked="0"/>
    </xf>
    <xf numFmtId="0" fontId="3" fillId="0" borderId="64" xfId="0" applyFont="1" applyBorder="1" applyAlignment="1">
      <alignment horizontal="center" vertical="center"/>
    </xf>
    <xf numFmtId="9" fontId="10" fillId="4" borderId="44" xfId="0" applyNumberFormat="1" applyFont="1" applyFill="1" applyBorder="1" applyAlignment="1">
      <alignment horizontal="center" vertical="center"/>
    </xf>
    <xf numFmtId="188" fontId="0" fillId="4" borderId="1" xfId="0" applyNumberFormat="1" applyFill="1" applyBorder="1" applyAlignment="1">
      <alignment horizontal="center" vertical="center"/>
    </xf>
    <xf numFmtId="188" fontId="0" fillId="4" borderId="42" xfId="0" applyNumberFormat="1" applyFill="1" applyBorder="1" applyAlignment="1">
      <alignment horizontal="center" vertical="center"/>
    </xf>
    <xf numFmtId="187" fontId="77" fillId="2" borderId="44" xfId="0" applyNumberFormat="1" applyFont="1" applyFill="1" applyBorder="1" applyAlignment="1" applyProtection="1">
      <alignment horizontal="center" vertical="center"/>
      <protection locked="0"/>
    </xf>
    <xf numFmtId="187" fontId="77" fillId="2" borderId="45" xfId="0" applyNumberFormat="1" applyFont="1" applyFill="1" applyBorder="1" applyAlignment="1" applyProtection="1">
      <alignment horizontal="center" vertical="center"/>
      <protection locked="0"/>
    </xf>
    <xf numFmtId="0" fontId="0" fillId="4" borderId="60"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16" fillId="9" borderId="0" xfId="0" applyFont="1" applyFill="1" applyAlignment="1">
      <alignment horizontal="center" vertical="center" wrapText="1"/>
    </xf>
    <xf numFmtId="0" fontId="77" fillId="2" borderId="59" xfId="0" applyFont="1" applyFill="1" applyBorder="1" applyAlignment="1" applyProtection="1">
      <alignment horizontal="center" vertical="center"/>
      <protection locked="0"/>
    </xf>
    <xf numFmtId="0" fontId="77" fillId="2" borderId="1" xfId="0" quotePrefix="1" applyFont="1" applyFill="1" applyBorder="1" applyAlignment="1" applyProtection="1">
      <alignment horizontal="center" vertical="center"/>
      <protection locked="0"/>
    </xf>
    <xf numFmtId="0" fontId="14" fillId="5" borderId="34" xfId="0" applyFont="1" applyFill="1" applyBorder="1" applyAlignment="1">
      <alignment horizontal="left" vertical="top" wrapText="1"/>
    </xf>
    <xf numFmtId="0" fontId="14" fillId="5" borderId="32" xfId="0" applyFont="1" applyFill="1" applyBorder="1" applyAlignment="1">
      <alignment horizontal="left" vertical="top" wrapText="1"/>
    </xf>
    <xf numFmtId="0" fontId="14" fillId="5" borderId="33"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0" xfId="0" applyFont="1" applyFill="1" applyAlignment="1">
      <alignment horizontal="left" vertical="top" wrapText="1"/>
    </xf>
    <xf numFmtId="0" fontId="14" fillId="5" borderId="36" xfId="0" applyFont="1" applyFill="1" applyBorder="1" applyAlignment="1">
      <alignment horizontal="lef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0" fontId="14" fillId="5" borderId="30" xfId="0" applyFont="1" applyFill="1" applyBorder="1" applyAlignment="1">
      <alignment horizontal="left" vertical="top"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79" fillId="2" borderId="34" xfId="0" applyFont="1" applyFill="1" applyBorder="1" applyAlignment="1" applyProtection="1">
      <alignment horizontal="left" vertical="top" wrapText="1"/>
      <protection locked="0"/>
    </xf>
    <xf numFmtId="0" fontId="80" fillId="2" borderId="32" xfId="0" applyFont="1" applyFill="1" applyBorder="1" applyAlignment="1" applyProtection="1">
      <alignment horizontal="left" vertical="top" wrapText="1"/>
      <protection locked="0"/>
    </xf>
    <xf numFmtId="0" fontId="80" fillId="2" borderId="33" xfId="0" applyFont="1" applyFill="1" applyBorder="1" applyAlignment="1" applyProtection="1">
      <alignment horizontal="left" vertical="top" wrapText="1"/>
      <protection locked="0"/>
    </xf>
    <xf numFmtId="0" fontId="80" fillId="2" borderId="35" xfId="0" applyFont="1" applyFill="1" applyBorder="1" applyAlignment="1" applyProtection="1">
      <alignment horizontal="left" vertical="top" wrapText="1"/>
      <protection locked="0"/>
    </xf>
    <xf numFmtId="0" fontId="80" fillId="2" borderId="0" xfId="0" applyFont="1" applyFill="1" applyAlignment="1" applyProtection="1">
      <alignment horizontal="left" vertical="top" wrapText="1"/>
      <protection locked="0"/>
    </xf>
    <xf numFmtId="0" fontId="80" fillId="2" borderId="36" xfId="0" applyFont="1" applyFill="1" applyBorder="1" applyAlignment="1" applyProtection="1">
      <alignment horizontal="left" vertical="top" wrapText="1"/>
      <protection locked="0"/>
    </xf>
    <xf numFmtId="0" fontId="80" fillId="2" borderId="28" xfId="0" applyFont="1" applyFill="1" applyBorder="1" applyAlignment="1" applyProtection="1">
      <alignment horizontal="left" vertical="top" wrapText="1"/>
      <protection locked="0"/>
    </xf>
    <xf numFmtId="0" fontId="80" fillId="2" borderId="29" xfId="0" applyFont="1" applyFill="1" applyBorder="1" applyAlignment="1" applyProtection="1">
      <alignment horizontal="left" vertical="top" wrapText="1"/>
      <protection locked="0"/>
    </xf>
    <xf numFmtId="0" fontId="80" fillId="2" borderId="30" xfId="0" applyFont="1" applyFill="1" applyBorder="1" applyAlignment="1" applyProtection="1">
      <alignment horizontal="left" vertical="top" wrapText="1"/>
      <protection locked="0"/>
    </xf>
    <xf numFmtId="0" fontId="80" fillId="2" borderId="34" xfId="0" applyFont="1" applyFill="1" applyBorder="1" applyAlignment="1" applyProtection="1">
      <alignment horizontal="left" vertical="top" wrapText="1"/>
      <protection locked="0"/>
    </xf>
    <xf numFmtId="0" fontId="13" fillId="0" borderId="44" xfId="0" applyFont="1" applyBorder="1" applyAlignment="1">
      <alignment horizontal="center" vertical="center"/>
    </xf>
    <xf numFmtId="195" fontId="35" fillId="9" borderId="0" xfId="0" applyNumberFormat="1" applyFont="1" applyFill="1" applyAlignment="1">
      <alignment horizontal="center" vertical="center"/>
    </xf>
    <xf numFmtId="0" fontId="36" fillId="9" borderId="0" xfId="0" applyFont="1" applyFill="1" applyAlignment="1">
      <alignment horizontal="center" vertical="center" wrapText="1"/>
    </xf>
    <xf numFmtId="0" fontId="37" fillId="9" borderId="0" xfId="0" applyFont="1" applyFill="1" applyAlignment="1">
      <alignment horizontal="center" vertical="center"/>
    </xf>
    <xf numFmtId="0" fontId="0" fillId="0" borderId="0" xfId="0" applyAlignment="1">
      <alignment horizontal="center" vertical="center"/>
    </xf>
    <xf numFmtId="0" fontId="77" fillId="2" borderId="75" xfId="0" applyFont="1" applyFill="1" applyBorder="1" applyAlignment="1" applyProtection="1">
      <alignment horizontal="center" vertical="center"/>
      <protection locked="0"/>
    </xf>
    <xf numFmtId="0" fontId="77" fillId="2" borderId="76" xfId="0" applyFont="1" applyFill="1" applyBorder="1" applyAlignment="1" applyProtection="1">
      <alignment horizontal="center" vertical="center"/>
      <protection locked="0"/>
    </xf>
    <xf numFmtId="0" fontId="77" fillId="2" borderId="71" xfId="0" applyFont="1" applyFill="1" applyBorder="1" applyAlignment="1" applyProtection="1">
      <alignment horizontal="center" vertical="center"/>
      <protection locked="0"/>
    </xf>
    <xf numFmtId="0" fontId="77" fillId="2" borderId="72" xfId="0" applyFont="1" applyFill="1" applyBorder="1" applyAlignment="1" applyProtection="1">
      <alignment horizontal="center" vertical="center"/>
      <protection locked="0"/>
    </xf>
    <xf numFmtId="177" fontId="3" fillId="0" borderId="60" xfId="0" applyNumberFormat="1" applyFont="1" applyBorder="1" applyAlignment="1">
      <alignment horizontal="center" vertical="center"/>
    </xf>
    <xf numFmtId="177" fontId="3" fillId="0" borderId="61" xfId="0" applyNumberFormat="1"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6" borderId="1" xfId="0" applyFill="1" applyBorder="1" applyAlignment="1">
      <alignment horizontal="center" vertical="center" wrapText="1"/>
    </xf>
    <xf numFmtId="9" fontId="3" fillId="0" borderId="20" xfId="0" quotePrefix="1" applyNumberFormat="1" applyFont="1" applyBorder="1" applyAlignment="1">
      <alignment horizontal="center" vertical="center"/>
    </xf>
    <xf numFmtId="9" fontId="3" fillId="0" borderId="21" xfId="0" applyNumberFormat="1" applyFont="1" applyBorder="1" applyAlignment="1">
      <alignment horizontal="center" vertical="center"/>
    </xf>
    <xf numFmtId="177" fontId="0" fillId="4" borderId="24" xfId="0" applyNumberFormat="1" applyFill="1" applyBorder="1" applyAlignment="1">
      <alignment horizontal="center" vertical="center"/>
    </xf>
    <xf numFmtId="177" fontId="0" fillId="4" borderId="59" xfId="0" applyNumberFormat="1" applyFill="1" applyBorder="1" applyAlignment="1">
      <alignment horizontal="center" vertical="center"/>
    </xf>
    <xf numFmtId="177" fontId="0" fillId="4" borderId="44" xfId="0" applyNumberFormat="1" applyFill="1" applyBorder="1" applyAlignment="1">
      <alignment horizontal="center" vertical="center"/>
    </xf>
    <xf numFmtId="0" fontId="77" fillId="2" borderId="44" xfId="0" applyFont="1" applyFill="1" applyBorder="1" applyAlignment="1" applyProtection="1">
      <alignment horizontal="center" vertical="center"/>
      <protection locked="0"/>
    </xf>
    <xf numFmtId="0" fontId="77" fillId="2" borderId="42" xfId="0" applyFont="1" applyFill="1" applyBorder="1" applyAlignment="1" applyProtection="1">
      <alignment horizontal="center" vertical="center"/>
      <protection locked="0"/>
    </xf>
    <xf numFmtId="0" fontId="77" fillId="2" borderId="45" xfId="0" applyFont="1" applyFill="1" applyBorder="1" applyAlignment="1" applyProtection="1">
      <alignment horizontal="center" vertical="center"/>
      <protection locked="0"/>
    </xf>
    <xf numFmtId="0" fontId="0" fillId="6" borderId="1" xfId="0" applyFill="1" applyBorder="1" applyAlignment="1">
      <alignment horizontal="center" vertical="center"/>
    </xf>
    <xf numFmtId="0" fontId="0" fillId="4" borderId="1" xfId="0" applyFill="1" applyBorder="1" applyAlignment="1">
      <alignment horizontal="center" vertical="center"/>
    </xf>
    <xf numFmtId="0" fontId="0" fillId="4" borderId="44" xfId="0" applyFill="1" applyBorder="1" applyAlignment="1">
      <alignment horizontal="center" vertical="center"/>
    </xf>
    <xf numFmtId="0" fontId="3" fillId="0" borderId="38" xfId="0" applyFont="1" applyBorder="1" applyAlignment="1">
      <alignment horizontal="center" vertical="center"/>
    </xf>
    <xf numFmtId="177" fontId="0" fillId="4" borderId="1" xfId="0" applyNumberFormat="1" applyFill="1" applyBorder="1" applyAlignment="1">
      <alignment horizontal="center" vertical="center"/>
    </xf>
    <xf numFmtId="0" fontId="18" fillId="3" borderId="0" xfId="0" applyFont="1" applyFill="1" applyAlignment="1">
      <alignment horizontal="center" vertical="center" shrinkToFit="1"/>
    </xf>
    <xf numFmtId="0" fontId="0" fillId="4" borderId="62" xfId="0" applyFill="1" applyBorder="1" applyAlignment="1">
      <alignment horizontal="center" vertical="center" wrapText="1"/>
    </xf>
    <xf numFmtId="0" fontId="0" fillId="4" borderId="59" xfId="0" applyFill="1" applyBorder="1" applyAlignment="1">
      <alignment horizontal="center" vertical="center" wrapText="1"/>
    </xf>
    <xf numFmtId="0" fontId="82" fillId="2" borderId="44" xfId="0" applyFont="1" applyFill="1" applyBorder="1" applyAlignment="1" applyProtection="1">
      <alignment horizontal="center" vertical="center" wrapText="1"/>
      <protection locked="0"/>
    </xf>
    <xf numFmtId="0" fontId="77" fillId="2" borderId="47" xfId="0" applyFont="1" applyFill="1" applyBorder="1" applyAlignment="1" applyProtection="1">
      <alignment horizontal="center" vertical="center"/>
      <protection locked="0"/>
    </xf>
    <xf numFmtId="0" fontId="77" fillId="2" borderId="60" xfId="0" applyFont="1" applyFill="1" applyBorder="1" applyAlignment="1" applyProtection="1">
      <alignment horizontal="center" vertical="center"/>
      <protection locked="0"/>
    </xf>
    <xf numFmtId="0" fontId="77" fillId="2" borderId="32" xfId="0" applyFont="1" applyFill="1" applyBorder="1" applyAlignment="1" applyProtection="1">
      <alignment horizontal="center" vertical="center"/>
      <protection locked="0"/>
    </xf>
    <xf numFmtId="0" fontId="77" fillId="2" borderId="61" xfId="0" applyFont="1" applyFill="1" applyBorder="1" applyAlignment="1" applyProtection="1">
      <alignment horizontal="center" vertical="center"/>
      <protection locked="0"/>
    </xf>
    <xf numFmtId="0" fontId="77" fillId="2" borderId="22" xfId="0" applyFont="1" applyFill="1" applyBorder="1" applyAlignment="1" applyProtection="1">
      <alignment horizontal="center" vertical="center"/>
      <protection locked="0"/>
    </xf>
    <xf numFmtId="0" fontId="77" fillId="2" borderId="23" xfId="0" applyFont="1" applyFill="1" applyBorder="1" applyAlignment="1" applyProtection="1">
      <alignment horizontal="center" vertical="center"/>
      <protection locked="0"/>
    </xf>
    <xf numFmtId="0" fontId="77" fillId="2" borderId="24" xfId="0" applyFont="1" applyFill="1" applyBorder="1" applyAlignment="1" applyProtection="1">
      <alignment horizontal="center" vertical="center"/>
      <protection locked="0"/>
    </xf>
    <xf numFmtId="0" fontId="3" fillId="10" borderId="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26" xfId="0" applyFont="1" applyBorder="1" applyAlignment="1">
      <alignment horizontal="center" vertical="center"/>
    </xf>
    <xf numFmtId="0" fontId="3" fillId="0" borderId="53" xfId="0" applyFont="1" applyBorder="1" applyAlignment="1">
      <alignment horizontal="center" vertical="center"/>
    </xf>
    <xf numFmtId="0" fontId="3" fillId="9" borderId="0" xfId="0" applyFont="1" applyFill="1" applyAlignment="1">
      <alignment horizontal="left" vertical="center"/>
    </xf>
    <xf numFmtId="187" fontId="3" fillId="4" borderId="25" xfId="0" applyNumberFormat="1" applyFont="1" applyFill="1" applyBorder="1" applyAlignment="1">
      <alignment horizontal="center" vertical="center"/>
    </xf>
    <xf numFmtId="187" fontId="3" fillId="4" borderId="26" xfId="0" applyNumberFormat="1" applyFont="1" applyFill="1" applyBorder="1" applyAlignment="1">
      <alignment horizontal="center" vertical="center"/>
    </xf>
    <xf numFmtId="187" fontId="3" fillId="4" borderId="27" xfId="0" applyNumberFormat="1" applyFont="1" applyFill="1" applyBorder="1" applyAlignment="1">
      <alignment horizontal="center" vertical="center"/>
    </xf>
    <xf numFmtId="3" fontId="13" fillId="0" borderId="38" xfId="0" applyNumberFormat="1" applyFont="1" applyBorder="1" applyAlignment="1">
      <alignment horizontal="center" vertical="center" wrapText="1"/>
    </xf>
    <xf numFmtId="3" fontId="13" fillId="0" borderId="39" xfId="0" applyNumberFormat="1" applyFont="1" applyBorder="1" applyAlignment="1">
      <alignment horizontal="center" vertical="center"/>
    </xf>
    <xf numFmtId="3" fontId="13" fillId="0" borderId="43" xfId="0" applyNumberFormat="1" applyFont="1" applyBorder="1" applyAlignment="1">
      <alignment horizontal="center" vertical="center"/>
    </xf>
    <xf numFmtId="3" fontId="13" fillId="0" borderId="44" xfId="0" applyNumberFormat="1" applyFont="1" applyBorder="1" applyAlignment="1">
      <alignment horizontal="center" vertical="center"/>
    </xf>
    <xf numFmtId="0" fontId="13" fillId="0" borderId="39" xfId="0" applyFont="1" applyBorder="1" applyAlignment="1">
      <alignment horizontal="center" vertical="center"/>
    </xf>
    <xf numFmtId="196" fontId="77" fillId="2" borderId="25" xfId="0" applyNumberFormat="1" applyFont="1" applyFill="1" applyBorder="1" applyAlignment="1" applyProtection="1">
      <alignment horizontal="center" vertical="center"/>
      <protection locked="0"/>
    </xf>
    <xf numFmtId="196" fontId="77" fillId="2" borderId="26" xfId="0" applyNumberFormat="1" applyFont="1" applyFill="1" applyBorder="1" applyAlignment="1" applyProtection="1">
      <alignment horizontal="center" vertical="center"/>
      <protection locked="0"/>
    </xf>
    <xf numFmtId="196" fontId="77" fillId="2" borderId="27" xfId="0" applyNumberFormat="1" applyFont="1" applyFill="1" applyBorder="1" applyAlignment="1" applyProtection="1">
      <alignment horizontal="center" vertical="center"/>
      <protection locked="0"/>
    </xf>
    <xf numFmtId="0" fontId="16" fillId="6" borderId="34" xfId="0" applyFont="1" applyFill="1" applyBorder="1" applyAlignment="1">
      <alignment horizontal="center" vertical="top" wrapText="1"/>
    </xf>
    <xf numFmtId="0" fontId="16" fillId="6" borderId="33" xfId="0" applyFont="1" applyFill="1" applyBorder="1" applyAlignment="1">
      <alignment horizontal="center" vertical="top" wrapText="1"/>
    </xf>
    <xf numFmtId="0" fontId="0" fillId="7" borderId="59" xfId="0" applyFill="1" applyBorder="1" applyAlignment="1">
      <alignment horizontal="center" vertical="center"/>
    </xf>
    <xf numFmtId="0" fontId="0" fillId="7" borderId="63" xfId="0" applyFill="1" applyBorder="1" applyAlignment="1">
      <alignment horizontal="center" vertical="center"/>
    </xf>
    <xf numFmtId="0" fontId="0" fillId="7" borderId="1" xfId="0" applyFill="1" applyBorder="1" applyAlignment="1">
      <alignment horizontal="center" vertical="center"/>
    </xf>
    <xf numFmtId="0" fontId="0" fillId="7" borderId="42" xfId="0" applyFill="1" applyBorder="1" applyAlignment="1">
      <alignment horizontal="center" vertical="center"/>
    </xf>
    <xf numFmtId="0" fontId="0" fillId="4" borderId="39" xfId="0" applyFill="1" applyBorder="1" applyAlignment="1">
      <alignment horizontal="center" vertical="center"/>
    </xf>
    <xf numFmtId="0" fontId="0" fillId="4" borderId="47" xfId="0" applyFill="1" applyBorder="1" applyAlignment="1">
      <alignment horizontal="center" vertical="center"/>
    </xf>
    <xf numFmtId="0" fontId="0" fillId="0" borderId="35" xfId="0" applyBorder="1" applyAlignment="1">
      <alignment horizontal="center" vertical="center"/>
    </xf>
    <xf numFmtId="177" fontId="0" fillId="4" borderId="17" xfId="0" applyNumberFormat="1" applyFill="1" applyBorder="1" applyAlignment="1">
      <alignment horizontal="center" vertical="center"/>
    </xf>
    <xf numFmtId="177" fontId="0" fillId="4" borderId="19" xfId="0" applyNumberFormat="1" applyFill="1" applyBorder="1" applyAlignment="1">
      <alignment horizontal="center" vertical="center"/>
    </xf>
    <xf numFmtId="177" fontId="0" fillId="4" borderId="50" xfId="0" applyNumberFormat="1" applyFill="1" applyBorder="1" applyAlignment="1">
      <alignment horizontal="center" vertical="center"/>
    </xf>
    <xf numFmtId="177" fontId="0" fillId="4" borderId="37" xfId="0" applyNumberFormat="1" applyFill="1" applyBorder="1" applyAlignment="1">
      <alignment horizontal="center" vertical="center"/>
    </xf>
    <xf numFmtId="0" fontId="0" fillId="7" borderId="44" xfId="0" applyFill="1" applyBorder="1" applyAlignment="1">
      <alignment horizontal="center" vertical="center"/>
    </xf>
    <xf numFmtId="0" fontId="0" fillId="7" borderId="45" xfId="0" applyFill="1" applyBorder="1" applyAlignment="1">
      <alignment horizontal="center" vertical="center"/>
    </xf>
    <xf numFmtId="188" fontId="0" fillId="4" borderId="41" xfId="0" applyNumberFormat="1" applyFill="1" applyBorder="1" applyAlignment="1">
      <alignment horizontal="center" vertical="center"/>
    </xf>
    <xf numFmtId="0" fontId="10" fillId="4" borderId="43" xfId="0" applyFont="1" applyFill="1" applyBorder="1" applyAlignment="1">
      <alignment horizontal="center" vertical="center"/>
    </xf>
    <xf numFmtId="0" fontId="10" fillId="4" borderId="44" xfId="0" applyFont="1" applyFill="1" applyBorder="1" applyAlignment="1">
      <alignment horizontal="center" vertical="center" wrapText="1"/>
    </xf>
    <xf numFmtId="0" fontId="0" fillId="4" borderId="59" xfId="0" applyFill="1" applyBorder="1" applyAlignment="1">
      <alignment horizontal="center" vertical="center"/>
    </xf>
    <xf numFmtId="0" fontId="0" fillId="4" borderId="22" xfId="0" applyFill="1" applyBorder="1" applyAlignment="1">
      <alignment horizontal="center" vertical="center"/>
    </xf>
    <xf numFmtId="0" fontId="0" fillId="4" borderId="17" xfId="0" applyFill="1" applyBorder="1" applyAlignment="1">
      <alignment horizontal="center" vertical="center"/>
    </xf>
    <xf numFmtId="177" fontId="0" fillId="4" borderId="39" xfId="0" applyNumberFormat="1" applyFill="1" applyBorder="1" applyAlignment="1">
      <alignment horizontal="center" vertical="center"/>
    </xf>
    <xf numFmtId="177" fontId="0" fillId="4" borderId="47" xfId="0" applyNumberFormat="1" applyFill="1" applyBorder="1" applyAlignment="1">
      <alignment horizontal="center" vertical="center"/>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82" fillId="2" borderId="39" xfId="0" applyFont="1" applyFill="1" applyBorder="1" applyAlignment="1" applyProtection="1">
      <alignment horizontal="center" vertical="center" wrapText="1"/>
      <protection locked="0"/>
    </xf>
    <xf numFmtId="0" fontId="82" fillId="2" borderId="47" xfId="0" applyFont="1" applyFill="1" applyBorder="1" applyAlignment="1" applyProtection="1">
      <alignment horizontal="center" vertical="center" wrapText="1"/>
      <protection locked="0"/>
    </xf>
    <xf numFmtId="0" fontId="77" fillId="2" borderId="39" xfId="0" applyFont="1" applyFill="1" applyBorder="1" applyAlignment="1" applyProtection="1">
      <alignment horizontal="center" vertical="center"/>
      <protection locked="0"/>
    </xf>
    <xf numFmtId="0" fontId="77" fillId="2" borderId="39" xfId="0" quotePrefix="1" applyFont="1" applyFill="1" applyBorder="1" applyAlignment="1" applyProtection="1">
      <alignment horizontal="center" vertical="center"/>
      <protection locked="0"/>
    </xf>
    <xf numFmtId="0" fontId="6" fillId="3" borderId="0" xfId="0" applyFont="1" applyFill="1" applyAlignment="1">
      <alignment horizontal="center" vertical="center" shrinkToFit="1"/>
    </xf>
    <xf numFmtId="3" fontId="77" fillId="2" borderId="1" xfId="0" applyNumberFormat="1" applyFont="1" applyFill="1" applyBorder="1" applyAlignment="1" applyProtection="1">
      <alignment horizontal="center" vertical="center"/>
      <protection locked="0"/>
    </xf>
    <xf numFmtId="0" fontId="10" fillId="4" borderId="62"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3" xfId="0" applyFont="1" applyBorder="1" applyAlignment="1">
      <alignment horizontal="center" vertical="center" wrapText="1"/>
    </xf>
    <xf numFmtId="0" fontId="82" fillId="2" borderId="1" xfId="0" quotePrefix="1" applyFont="1" applyFill="1" applyBorder="1" applyAlignment="1" applyProtection="1">
      <alignment horizontal="center" vertical="center" wrapText="1"/>
      <protection locked="0"/>
    </xf>
    <xf numFmtId="0" fontId="0" fillId="4" borderId="57"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82" fillId="2" borderId="59" xfId="0" applyFont="1" applyFill="1" applyBorder="1" applyAlignment="1" applyProtection="1">
      <alignment horizontal="center" vertical="center" wrapText="1"/>
      <protection locked="0"/>
    </xf>
    <xf numFmtId="0" fontId="0" fillId="4" borderId="1" xfId="1" applyNumberFormat="1" applyFont="1" applyFill="1" applyBorder="1" applyAlignment="1" applyProtection="1">
      <alignment horizontal="center" vertical="center"/>
    </xf>
    <xf numFmtId="0" fontId="0" fillId="4" borderId="6" xfId="0" applyFill="1" applyBorder="1" applyAlignment="1">
      <alignment horizontal="center" vertical="center"/>
    </xf>
    <xf numFmtId="0" fontId="0" fillId="8" borderId="50" xfId="0" applyFill="1" applyBorder="1" applyAlignment="1">
      <alignment horizontal="center" vertical="center"/>
    </xf>
    <xf numFmtId="0" fontId="0" fillId="8" borderId="37" xfId="0" applyFill="1" applyBorder="1" applyAlignment="1">
      <alignment horizontal="center" vertical="center"/>
    </xf>
    <xf numFmtId="0" fontId="0" fillId="8" borderId="60" xfId="0" applyFill="1" applyBorder="1" applyAlignment="1">
      <alignment horizontal="center" vertical="center"/>
    </xf>
    <xf numFmtId="0" fontId="0" fillId="8" borderId="61" xfId="0" applyFill="1" applyBorder="1" applyAlignment="1">
      <alignment horizontal="center" vertical="center"/>
    </xf>
    <xf numFmtId="0" fontId="0" fillId="8" borderId="54" xfId="0" applyFill="1" applyBorder="1" applyAlignment="1">
      <alignment horizontal="center" vertical="center"/>
    </xf>
    <xf numFmtId="0" fontId="0" fillId="8" borderId="53" xfId="0" applyFill="1" applyBorder="1" applyAlignment="1">
      <alignment horizontal="center" vertical="center"/>
    </xf>
    <xf numFmtId="0" fontId="77" fillId="2" borderId="54" xfId="0" applyFont="1" applyFill="1" applyBorder="1" applyAlignment="1" applyProtection="1">
      <alignment horizontal="center" vertical="center"/>
      <protection locked="0"/>
    </xf>
    <xf numFmtId="0" fontId="77" fillId="2" borderId="53"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protection locked="0"/>
    </xf>
    <xf numFmtId="0" fontId="77" fillId="2" borderId="18" xfId="0" applyFont="1" applyFill="1" applyBorder="1" applyAlignment="1" applyProtection="1">
      <alignment horizontal="center" vertical="center"/>
      <protection locked="0"/>
    </xf>
    <xf numFmtId="195" fontId="77" fillId="2" borderId="25" xfId="0" quotePrefix="1" applyNumberFormat="1" applyFont="1" applyFill="1" applyBorder="1" applyAlignment="1" applyProtection="1">
      <alignment horizontal="center" vertical="center"/>
      <protection locked="0"/>
    </xf>
    <xf numFmtId="195" fontId="77" fillId="2" borderId="26" xfId="0" applyNumberFormat="1" applyFont="1" applyFill="1" applyBorder="1" applyAlignment="1" applyProtection="1">
      <alignment horizontal="center" vertical="center"/>
      <protection locked="0"/>
    </xf>
    <xf numFmtId="195" fontId="77" fillId="2" borderId="27" xfId="0" applyNumberFormat="1" applyFont="1" applyFill="1" applyBorder="1" applyAlignment="1" applyProtection="1">
      <alignment horizontal="center" vertical="center"/>
      <protection locked="0"/>
    </xf>
    <xf numFmtId="0" fontId="77" fillId="2" borderId="33" xfId="0" applyFont="1" applyFill="1" applyBorder="1" applyAlignment="1" applyProtection="1">
      <alignment horizontal="center" vertical="center"/>
      <protection locked="0"/>
    </xf>
    <xf numFmtId="0" fontId="78" fillId="2" borderId="50" xfId="0" applyFont="1" applyFill="1" applyBorder="1" applyAlignment="1" applyProtection="1">
      <alignment horizontal="center" vertical="center"/>
      <protection locked="0"/>
    </xf>
    <xf numFmtId="0" fontId="78" fillId="2" borderId="29" xfId="0" applyFont="1" applyFill="1" applyBorder="1" applyAlignment="1" applyProtection="1">
      <alignment horizontal="center" vertical="center"/>
      <protection locked="0"/>
    </xf>
    <xf numFmtId="0" fontId="78" fillId="2" borderId="37" xfId="0" applyFont="1" applyFill="1" applyBorder="1" applyAlignment="1" applyProtection="1">
      <alignment horizontal="center" vertical="center"/>
      <protection locked="0"/>
    </xf>
    <xf numFmtId="0" fontId="78" fillId="2" borderId="32" xfId="0" applyFont="1" applyFill="1" applyBorder="1" applyAlignment="1" applyProtection="1">
      <alignment horizontal="center" vertical="center"/>
      <protection locked="0"/>
    </xf>
    <xf numFmtId="0" fontId="78" fillId="2" borderId="26" xfId="0" applyFont="1" applyFill="1" applyBorder="1" applyAlignment="1" applyProtection="1">
      <alignment horizontal="center" vertical="center"/>
      <protection locked="0"/>
    </xf>
    <xf numFmtId="180" fontId="4" fillId="4" borderId="2" xfId="0" applyNumberFormat="1" applyFont="1" applyFill="1" applyBorder="1" applyAlignment="1">
      <alignment horizontal="center" vertical="center"/>
    </xf>
    <xf numFmtId="180" fontId="4" fillId="4" borderId="3" xfId="0" applyNumberFormat="1" applyFont="1" applyFill="1" applyBorder="1" applyAlignment="1">
      <alignment horizontal="center" vertical="center"/>
    </xf>
    <xf numFmtId="180" fontId="4" fillId="4" borderId="4" xfId="0" applyNumberFormat="1" applyFont="1" applyFill="1" applyBorder="1" applyAlignment="1">
      <alignment horizontal="center" vertical="center"/>
    </xf>
    <xf numFmtId="177" fontId="0" fillId="4" borderId="3" xfId="0" applyNumberFormat="1" applyFill="1" applyBorder="1" applyAlignment="1">
      <alignment horizontal="center" vertical="center"/>
    </xf>
    <xf numFmtId="177" fontId="0" fillId="4" borderId="11" xfId="0" applyNumberForma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8" borderId="0" xfId="0" applyFont="1" applyFill="1" applyAlignment="1">
      <alignment horizontal="lef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77" fillId="2" borderId="28" xfId="0" applyFont="1" applyFill="1" applyBorder="1" applyAlignment="1" applyProtection="1">
      <alignment horizontal="center" vertical="center"/>
      <protection locked="0"/>
    </xf>
    <xf numFmtId="0" fontId="77" fillId="2" borderId="30" xfId="0" applyFont="1" applyFill="1" applyBorder="1" applyAlignment="1" applyProtection="1">
      <alignment horizontal="center" vertical="center"/>
      <protection locked="0"/>
    </xf>
    <xf numFmtId="0" fontId="0" fillId="9" borderId="0" xfId="0" applyFill="1" applyAlignment="1">
      <alignment horizontal="center" vertical="center"/>
    </xf>
    <xf numFmtId="0" fontId="77" fillId="2" borderId="0" xfId="0" applyFont="1" applyFill="1" applyAlignment="1" applyProtection="1">
      <alignment horizontal="center" vertical="center"/>
      <protection locked="0"/>
    </xf>
    <xf numFmtId="0" fontId="77" fillId="2" borderId="36" xfId="0" applyFont="1" applyFill="1" applyBorder="1" applyAlignment="1" applyProtection="1">
      <alignment horizontal="center" vertical="center"/>
      <protection locked="0"/>
    </xf>
    <xf numFmtId="0" fontId="0" fillId="8" borderId="17" xfId="0" applyFill="1" applyBorder="1" applyAlignment="1">
      <alignment horizontal="center" vertical="center"/>
    </xf>
    <xf numFmtId="0" fontId="0" fillId="8" borderId="19" xfId="0" applyFill="1" applyBorder="1" applyAlignment="1">
      <alignment horizontal="center" vertical="center"/>
    </xf>
    <xf numFmtId="0" fontId="78" fillId="2" borderId="15" xfId="0" applyFont="1" applyFill="1" applyBorder="1" applyAlignment="1" applyProtection="1">
      <alignment horizontal="center" vertical="center"/>
      <protection locked="0"/>
    </xf>
    <xf numFmtId="0" fontId="78" fillId="2" borderId="13" xfId="0" applyFont="1" applyFill="1" applyBorder="1" applyAlignment="1" applyProtection="1">
      <alignment horizontal="center" vertical="center"/>
      <protection locked="0"/>
    </xf>
    <xf numFmtId="0" fontId="78" fillId="2" borderId="14"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179" fontId="0" fillId="4" borderId="2" xfId="0" applyNumberFormat="1" applyFill="1" applyBorder="1" applyAlignment="1">
      <alignment horizontal="center" vertical="center"/>
    </xf>
    <xf numFmtId="179" fontId="0" fillId="4" borderId="3"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77" fillId="2" borderId="35" xfId="0" applyFont="1" applyFill="1" applyBorder="1" applyAlignment="1" applyProtection="1">
      <alignment horizontal="left" vertical="center"/>
      <protection locked="0"/>
    </xf>
    <xf numFmtId="0" fontId="77" fillId="2" borderId="0" xfId="0" applyFont="1" applyFill="1" applyAlignment="1" applyProtection="1">
      <alignment horizontal="left" vertical="center"/>
      <protection locked="0"/>
    </xf>
    <xf numFmtId="0" fontId="77" fillId="2" borderId="36" xfId="0" applyFont="1" applyFill="1" applyBorder="1" applyAlignment="1" applyProtection="1">
      <alignment horizontal="left" vertical="center"/>
      <protection locked="0"/>
    </xf>
    <xf numFmtId="187" fontId="77" fillId="2" borderId="28" xfId="0" applyNumberFormat="1" applyFont="1" applyFill="1" applyBorder="1" applyAlignment="1" applyProtection="1">
      <alignment horizontal="center" vertical="center"/>
      <protection locked="0"/>
    </xf>
    <xf numFmtId="187" fontId="77" fillId="2" borderId="29" xfId="0" applyNumberFormat="1" applyFont="1" applyFill="1" applyBorder="1" applyAlignment="1" applyProtection="1">
      <alignment horizontal="center" vertical="center"/>
      <protection locked="0"/>
    </xf>
    <xf numFmtId="187" fontId="77" fillId="2" borderId="30" xfId="0" applyNumberFormat="1" applyFont="1" applyFill="1" applyBorder="1" applyAlignment="1" applyProtection="1">
      <alignment horizontal="center" vertical="center"/>
      <protection locked="0"/>
    </xf>
    <xf numFmtId="0" fontId="77" fillId="2" borderId="25" xfId="0" applyFont="1" applyFill="1" applyBorder="1" applyProtection="1">
      <alignment vertical="center"/>
      <protection locked="0"/>
    </xf>
    <xf numFmtId="0" fontId="77" fillId="2" borderId="26" xfId="0" applyFont="1" applyFill="1" applyBorder="1" applyProtection="1">
      <alignment vertical="center"/>
      <protection locked="0"/>
    </xf>
    <xf numFmtId="0" fontId="77" fillId="2" borderId="27" xfId="0" applyFont="1" applyFill="1" applyBorder="1" applyProtection="1">
      <alignment vertical="center"/>
      <protection locked="0"/>
    </xf>
    <xf numFmtId="0" fontId="81" fillId="2" borderId="25" xfId="2" applyFont="1" applyFill="1" applyBorder="1" applyAlignment="1" applyProtection="1">
      <alignment horizontal="center" vertical="center"/>
      <protection locked="0"/>
    </xf>
    <xf numFmtId="0" fontId="81" fillId="2" borderId="26" xfId="2" applyFont="1" applyFill="1" applyBorder="1" applyAlignment="1" applyProtection="1">
      <alignment horizontal="center" vertical="center"/>
      <protection locked="0"/>
    </xf>
    <xf numFmtId="0" fontId="81" fillId="2" borderId="27" xfId="2" applyFont="1" applyFill="1" applyBorder="1" applyAlignment="1" applyProtection="1">
      <alignment horizontal="center" vertical="center"/>
      <protection locked="0"/>
    </xf>
    <xf numFmtId="0" fontId="16" fillId="9" borderId="0" xfId="0" applyFont="1" applyFill="1" applyAlignment="1">
      <alignment horizontal="center" vertical="top" wrapText="1"/>
    </xf>
    <xf numFmtId="0" fontId="36" fillId="9" borderId="0" xfId="0" applyFont="1" applyFill="1" applyAlignment="1">
      <alignment horizontal="center" vertical="top" wrapText="1"/>
    </xf>
    <xf numFmtId="187" fontId="35" fillId="9" borderId="0" xfId="0" applyNumberFormat="1" applyFont="1" applyFill="1" applyAlignment="1">
      <alignment horizontal="center" vertical="center"/>
    </xf>
    <xf numFmtId="0" fontId="31" fillId="9" borderId="0" xfId="0" applyFont="1" applyFill="1" applyAlignment="1">
      <alignment horizontal="center" vertical="top" wrapText="1"/>
    </xf>
    <xf numFmtId="187" fontId="0" fillId="9" borderId="0" xfId="0" applyNumberFormat="1" applyFill="1" applyAlignment="1">
      <alignment horizontal="center" vertical="center"/>
    </xf>
    <xf numFmtId="187" fontId="37" fillId="9" borderId="0" xfId="0" applyNumberFormat="1" applyFont="1" applyFill="1" applyAlignment="1">
      <alignment horizontal="center" vertical="center"/>
    </xf>
    <xf numFmtId="0" fontId="80" fillId="2" borderId="32" xfId="0" applyFont="1" applyFill="1" applyBorder="1" applyAlignment="1" applyProtection="1">
      <alignment horizontal="center" vertical="top" wrapText="1"/>
      <protection locked="0"/>
    </xf>
    <xf numFmtId="0" fontId="80" fillId="2" borderId="33" xfId="0" applyFont="1" applyFill="1" applyBorder="1" applyAlignment="1" applyProtection="1">
      <alignment horizontal="center" vertical="top" wrapText="1"/>
      <protection locked="0"/>
    </xf>
    <xf numFmtId="194" fontId="36" fillId="9" borderId="0" xfId="0" quotePrefix="1" applyNumberFormat="1" applyFont="1" applyFill="1" applyAlignment="1">
      <alignment horizontal="center" vertical="center" wrapText="1"/>
    </xf>
    <xf numFmtId="0" fontId="77" fillId="2" borderId="49" xfId="0" applyFont="1" applyFill="1" applyBorder="1" applyAlignment="1" applyProtection="1">
      <alignment horizontal="center" vertical="center"/>
      <protection locked="0"/>
    </xf>
    <xf numFmtId="191" fontId="0" fillId="4" borderId="25" xfId="0" applyNumberFormat="1" applyFill="1" applyBorder="1" applyAlignment="1">
      <alignment horizontal="center" vertical="center"/>
    </xf>
    <xf numFmtId="191" fontId="0" fillId="4" borderId="26" xfId="0" applyNumberFormat="1" applyFill="1" applyBorder="1" applyAlignment="1">
      <alignment horizontal="center" vertical="center"/>
    </xf>
    <xf numFmtId="191" fontId="0" fillId="4" borderId="27" xfId="0" applyNumberFormat="1" applyFill="1" applyBorder="1" applyAlignment="1">
      <alignment horizontal="center" vertical="center"/>
    </xf>
    <xf numFmtId="191" fontId="0" fillId="4" borderId="28" xfId="0" applyNumberFormat="1" applyFill="1" applyBorder="1" applyAlignment="1">
      <alignment horizontal="center" vertical="center"/>
    </xf>
    <xf numFmtId="191" fontId="0" fillId="4" borderId="29" xfId="0" applyNumberFormat="1" applyFill="1" applyBorder="1" applyAlignment="1">
      <alignment horizontal="center" vertical="center"/>
    </xf>
    <xf numFmtId="191" fontId="0" fillId="4" borderId="30" xfId="0" applyNumberFormat="1" applyFill="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87" fontId="0" fillId="4" borderId="34" xfId="0" applyNumberFormat="1" applyFill="1" applyBorder="1" applyAlignment="1">
      <alignment horizontal="center" vertical="center"/>
    </xf>
    <xf numFmtId="187" fontId="0" fillId="4" borderId="32" xfId="0" applyNumberFormat="1" applyFill="1" applyBorder="1" applyAlignment="1">
      <alignment horizontal="center" vertical="center"/>
    </xf>
    <xf numFmtId="187" fontId="0" fillId="4" borderId="33" xfId="0" applyNumberFormat="1" applyFill="1" applyBorder="1" applyAlignment="1">
      <alignment horizontal="center" vertical="center"/>
    </xf>
    <xf numFmtId="0" fontId="0" fillId="7" borderId="28" xfId="0" applyFill="1" applyBorder="1" applyAlignment="1">
      <alignment horizontal="center" vertical="center"/>
    </xf>
    <xf numFmtId="0" fontId="0" fillId="7" borderId="30" xfId="0" applyFill="1" applyBorder="1" applyAlignment="1">
      <alignment horizontal="center" vertical="center"/>
    </xf>
    <xf numFmtId="183" fontId="0" fillId="4" borderId="2" xfId="0" applyNumberFormat="1" applyFill="1" applyBorder="1" applyAlignment="1">
      <alignment horizontal="center" vertical="center"/>
    </xf>
    <xf numFmtId="183" fontId="0" fillId="4" borderId="3" xfId="0" applyNumberFormat="1" applyFill="1" applyBorder="1" applyAlignment="1">
      <alignment horizontal="center" vertical="center"/>
    </xf>
    <xf numFmtId="183" fontId="0" fillId="4" borderId="4" xfId="0" applyNumberFormat="1" applyFill="1" applyBorder="1" applyAlignment="1">
      <alignment horizontal="center" vertical="center"/>
    </xf>
    <xf numFmtId="178" fontId="0" fillId="4" borderId="2" xfId="0" applyNumberFormat="1" applyFill="1" applyBorder="1" applyAlignment="1">
      <alignment horizontal="center" vertical="center"/>
    </xf>
    <xf numFmtId="178" fontId="0" fillId="4" borderId="3" xfId="0" applyNumberFormat="1" applyFill="1" applyBorder="1" applyAlignment="1">
      <alignment horizontal="center" vertical="center"/>
    </xf>
    <xf numFmtId="178" fontId="0" fillId="4" borderId="4" xfId="0" applyNumberFormat="1" applyFill="1" applyBorder="1" applyAlignment="1">
      <alignment horizontal="center" vertical="center"/>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3" fillId="0" borderId="8" xfId="0" applyFont="1" applyBorder="1" applyAlignment="1">
      <alignment horizontal="center" vertical="center"/>
    </xf>
    <xf numFmtId="0" fontId="13" fillId="0" borderId="15" xfId="0" applyFont="1" applyBorder="1" applyAlignment="1">
      <alignment horizontal="center" vertical="center"/>
    </xf>
    <xf numFmtId="177" fontId="0" fillId="4" borderId="22" xfId="0" applyNumberFormat="1" applyFill="1" applyBorder="1" applyAlignment="1">
      <alignment horizontal="center" vertical="center"/>
    </xf>
    <xf numFmtId="3" fontId="77" fillId="2" borderId="39" xfId="0" applyNumberFormat="1" applyFont="1" applyFill="1" applyBorder="1" applyAlignment="1" applyProtection="1">
      <alignment horizontal="center" vertical="center"/>
      <protection locked="0"/>
    </xf>
    <xf numFmtId="0" fontId="77" fillId="2" borderId="48" xfId="0" applyFont="1" applyFill="1" applyBorder="1" applyAlignment="1" applyProtection="1">
      <alignment horizontal="center" vertical="center"/>
      <protection locked="0"/>
    </xf>
    <xf numFmtId="177" fontId="3" fillId="0" borderId="54" xfId="0" applyNumberFormat="1" applyFont="1" applyBorder="1" applyAlignment="1">
      <alignment horizontal="center" vertical="center"/>
    </xf>
    <xf numFmtId="177" fontId="3" fillId="0" borderId="53" xfId="0" applyNumberFormat="1" applyFont="1" applyBorder="1" applyAlignment="1">
      <alignment horizontal="center" vertical="center"/>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7" xfId="0" applyFill="1" applyBorder="1" applyAlignment="1">
      <alignment horizontal="center" vertical="center" wrapText="1"/>
    </xf>
    <xf numFmtId="0" fontId="77" fillId="2" borderId="59" xfId="0" quotePrefix="1" applyFont="1" applyFill="1" applyBorder="1" applyAlignment="1" applyProtection="1">
      <alignment horizontal="center" vertical="center"/>
      <protection locked="0"/>
    </xf>
    <xf numFmtId="0" fontId="77" fillId="2" borderId="40"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4" borderId="39" xfId="1" applyNumberFormat="1" applyFont="1" applyFill="1" applyBorder="1" applyAlignment="1" applyProtection="1">
      <alignment horizontal="center" vertical="center"/>
    </xf>
    <xf numFmtId="0" fontId="0" fillId="4" borderId="47" xfId="1" applyNumberFormat="1" applyFont="1" applyFill="1" applyBorder="1" applyAlignment="1" applyProtection="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77" fillId="2" borderId="63" xfId="0" applyFont="1" applyFill="1" applyBorder="1" applyAlignment="1" applyProtection="1">
      <alignment horizontal="center" vertical="center"/>
      <protection locked="0"/>
    </xf>
    <xf numFmtId="0" fontId="0" fillId="4" borderId="59" xfId="1" applyNumberFormat="1" applyFont="1" applyFill="1" applyBorder="1" applyAlignment="1" applyProtection="1">
      <alignment horizontal="center" vertical="center"/>
    </xf>
    <xf numFmtId="0" fontId="0" fillId="0" borderId="20" xfId="0"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wrapText="1"/>
    </xf>
    <xf numFmtId="0" fontId="0" fillId="6" borderId="43" xfId="0" applyFill="1" applyBorder="1" applyAlignment="1">
      <alignment horizontal="center" vertical="center"/>
    </xf>
    <xf numFmtId="0" fontId="0" fillId="6" borderId="44"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38" xfId="0" applyFill="1" applyBorder="1" applyAlignment="1">
      <alignment horizontal="center" vertical="center"/>
    </xf>
    <xf numFmtId="0" fontId="0" fillId="6" borderId="39" xfId="0" applyFill="1" applyBorder="1" applyAlignment="1">
      <alignment horizontal="center" vertical="center" wrapText="1"/>
    </xf>
    <xf numFmtId="0" fontId="0" fillId="6" borderId="40" xfId="0" applyFill="1" applyBorder="1" applyAlignment="1">
      <alignment horizontal="center" vertical="center" wrapText="1"/>
    </xf>
    <xf numFmtId="3" fontId="0" fillId="0" borderId="0" xfId="0" applyNumberFormat="1" applyAlignment="1">
      <alignment horizontal="center" vertical="center"/>
    </xf>
    <xf numFmtId="0" fontId="0" fillId="6" borderId="46" xfId="0" applyFill="1" applyBorder="1" applyAlignment="1">
      <alignment horizontal="center" vertical="center"/>
    </xf>
    <xf numFmtId="0" fontId="77" fillId="2" borderId="67" xfId="0" applyFont="1" applyFill="1" applyBorder="1" applyAlignment="1" applyProtection="1">
      <alignment horizontal="center" vertical="center"/>
      <protection locked="0"/>
    </xf>
    <xf numFmtId="0" fontId="77" fillId="2" borderId="68" xfId="0" applyFont="1" applyFill="1" applyBorder="1" applyAlignment="1" applyProtection="1">
      <alignment horizontal="center" vertical="center"/>
      <protection locked="0"/>
    </xf>
    <xf numFmtId="0" fontId="77" fillId="2" borderId="69" xfId="0" applyFont="1" applyFill="1" applyBorder="1" applyAlignment="1" applyProtection="1">
      <alignment horizontal="center" vertical="center"/>
      <protection locked="0"/>
    </xf>
    <xf numFmtId="0" fontId="77" fillId="2" borderId="70" xfId="0" applyFont="1" applyFill="1" applyBorder="1" applyAlignment="1" applyProtection="1">
      <alignment horizontal="center" vertical="center"/>
      <protection locked="0"/>
    </xf>
    <xf numFmtId="181" fontId="0" fillId="4" borderId="2" xfId="0" applyNumberFormat="1" applyFill="1" applyBorder="1" applyAlignment="1">
      <alignment horizontal="center" vertical="center"/>
    </xf>
    <xf numFmtId="181" fontId="0" fillId="4" borderId="3" xfId="0" applyNumberFormat="1" applyFill="1" applyBorder="1" applyAlignment="1">
      <alignment horizontal="center" vertical="center"/>
    </xf>
    <xf numFmtId="181" fontId="0" fillId="4" borderId="4" xfId="0" applyNumberFormat="1" applyFill="1" applyBorder="1" applyAlignment="1">
      <alignment horizontal="center" vertical="center"/>
    </xf>
    <xf numFmtId="182" fontId="0" fillId="4" borderId="2" xfId="0" applyNumberFormat="1" applyFill="1" applyBorder="1" applyAlignment="1">
      <alignment horizontal="center" vertical="center"/>
    </xf>
    <xf numFmtId="182" fontId="0" fillId="4" borderId="3" xfId="0" applyNumberFormat="1" applyFill="1" applyBorder="1" applyAlignment="1">
      <alignment horizontal="center" vertical="center"/>
    </xf>
    <xf numFmtId="182" fontId="0" fillId="4" borderId="4" xfId="0" applyNumberFormat="1" applyFill="1" applyBorder="1" applyAlignment="1">
      <alignment horizontal="center" vertical="center"/>
    </xf>
    <xf numFmtId="0" fontId="80" fillId="2" borderId="26" xfId="0" quotePrefix="1" applyFont="1" applyFill="1" applyBorder="1" applyAlignment="1" applyProtection="1">
      <alignment horizontal="center" vertical="top" wrapText="1"/>
      <protection locked="0"/>
    </xf>
    <xf numFmtId="0" fontId="80" fillId="2" borderId="26" xfId="0" applyFont="1" applyFill="1" applyBorder="1" applyAlignment="1" applyProtection="1">
      <alignment horizontal="center" vertical="top" wrapText="1"/>
      <protection locked="0"/>
    </xf>
    <xf numFmtId="0" fontId="80" fillId="2" borderId="27" xfId="0" applyFont="1" applyFill="1" applyBorder="1" applyAlignment="1" applyProtection="1">
      <alignment horizontal="center" vertical="top" wrapText="1"/>
      <protection locked="0"/>
    </xf>
    <xf numFmtId="0" fontId="16" fillId="6" borderId="25" xfId="0" applyFont="1" applyFill="1" applyBorder="1" applyAlignment="1">
      <alignment horizontal="center" vertical="top" wrapText="1"/>
    </xf>
    <xf numFmtId="0" fontId="16" fillId="6" borderId="27" xfId="0" applyFont="1" applyFill="1" applyBorder="1" applyAlignment="1">
      <alignment horizontal="center" vertical="top" wrapText="1"/>
    </xf>
    <xf numFmtId="0" fontId="3" fillId="6" borderId="39" xfId="0" applyFont="1" applyFill="1" applyBorder="1" applyAlignment="1">
      <alignment horizontal="center" vertical="center"/>
    </xf>
    <xf numFmtId="0" fontId="3" fillId="6" borderId="40" xfId="0" applyFont="1" applyFill="1" applyBorder="1" applyAlignment="1">
      <alignment horizontal="center" vertical="center"/>
    </xf>
    <xf numFmtId="9" fontId="0" fillId="4" borderId="1" xfId="0" applyNumberFormat="1" applyFill="1" applyBorder="1" applyAlignment="1">
      <alignment horizontal="center" vertical="center"/>
    </xf>
    <xf numFmtId="0" fontId="0" fillId="4" borderId="42" xfId="0" applyFill="1" applyBorder="1" applyAlignment="1">
      <alignment horizontal="center" vertical="center"/>
    </xf>
    <xf numFmtId="0" fontId="3" fillId="4" borderId="4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4" xfId="0" applyFont="1" applyFill="1" applyBorder="1" applyAlignment="1">
      <alignment horizontal="center" vertical="center"/>
    </xf>
    <xf numFmtId="9" fontId="0" fillId="4" borderId="15" xfId="0" applyNumberFormat="1" applyFill="1" applyBorder="1" applyAlignment="1">
      <alignment horizontal="center" vertical="center"/>
    </xf>
    <xf numFmtId="9" fontId="0" fillId="4" borderId="13" xfId="0" applyNumberFormat="1" applyFill="1" applyBorder="1" applyAlignment="1">
      <alignment horizontal="center" vertical="center"/>
    </xf>
    <xf numFmtId="9" fontId="0" fillId="4" borderId="14" xfId="0" applyNumberFormat="1" applyFill="1" applyBorder="1" applyAlignment="1">
      <alignment horizontal="center" vertical="center"/>
    </xf>
    <xf numFmtId="0" fontId="0" fillId="4" borderId="45" xfId="0" applyFill="1" applyBorder="1" applyAlignment="1">
      <alignment horizontal="center" vertical="center"/>
    </xf>
    <xf numFmtId="0" fontId="80" fillId="2" borderId="25" xfId="0" applyFont="1" applyFill="1" applyBorder="1" applyAlignment="1" applyProtection="1">
      <alignment horizontal="center" vertical="center"/>
      <protection locked="0"/>
    </xf>
    <xf numFmtId="0" fontId="80" fillId="2" borderId="26" xfId="0" applyFont="1" applyFill="1" applyBorder="1" applyAlignment="1" applyProtection="1">
      <alignment horizontal="center" vertical="center"/>
      <protection locked="0"/>
    </xf>
    <xf numFmtId="0" fontId="80" fillId="2" borderId="27" xfId="0" applyFont="1" applyFill="1" applyBorder="1" applyAlignment="1" applyProtection="1">
      <alignment horizontal="center" vertical="center"/>
      <protection locked="0"/>
    </xf>
    <xf numFmtId="196" fontId="35" fillId="9" borderId="0" xfId="0" applyNumberFormat="1" applyFont="1" applyFill="1" applyAlignment="1">
      <alignment horizontal="center" vertical="center"/>
    </xf>
    <xf numFmtId="177" fontId="0" fillId="4" borderId="13" xfId="0" applyNumberFormat="1" applyFill="1" applyBorder="1" applyAlignment="1">
      <alignment horizontal="center" vertical="center"/>
    </xf>
    <xf numFmtId="177" fontId="0" fillId="4" borderId="16" xfId="0" applyNumberForma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9" fontId="3" fillId="0" borderId="47" xfId="0" quotePrefix="1" applyNumberFormat="1" applyFont="1" applyBorder="1" applyAlignment="1">
      <alignment horizontal="center" vertical="center"/>
    </xf>
    <xf numFmtId="9" fontId="3" fillId="0" borderId="47" xfId="0" applyNumberFormat="1" applyFont="1" applyBorder="1" applyAlignment="1">
      <alignment horizontal="center" vertical="center"/>
    </xf>
    <xf numFmtId="0" fontId="77" fillId="2" borderId="73" xfId="0" applyFont="1" applyFill="1" applyBorder="1" applyAlignment="1" applyProtection="1">
      <alignment horizontal="center" vertical="center"/>
      <protection locked="0"/>
    </xf>
    <xf numFmtId="0" fontId="77" fillId="2" borderId="74" xfId="0" applyFont="1" applyFill="1" applyBorder="1" applyAlignment="1" applyProtection="1">
      <alignment horizontal="center" vertical="center"/>
      <protection locked="0"/>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 fontId="77" fillId="2" borderId="59" xfId="0" applyNumberFormat="1" applyFont="1" applyFill="1" applyBorder="1" applyAlignment="1" applyProtection="1">
      <alignment horizontal="center" vertical="center"/>
      <protection locked="0"/>
    </xf>
    <xf numFmtId="177" fontId="3" fillId="0" borderId="44" xfId="0" applyNumberFormat="1" applyFont="1" applyBorder="1" applyAlignment="1">
      <alignment horizontal="center" vertical="center"/>
    </xf>
    <xf numFmtId="0" fontId="3" fillId="10" borderId="1" xfId="0" quotePrefix="1"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7" xfId="0" applyFill="1" applyBorder="1" applyAlignment="1">
      <alignment horizontal="center" vertical="center" wrapText="1"/>
    </xf>
    <xf numFmtId="9" fontId="0" fillId="4" borderId="43" xfId="0" applyNumberFormat="1" applyFill="1" applyBorder="1" applyAlignment="1">
      <alignment horizontal="center" vertical="center"/>
    </xf>
    <xf numFmtId="9" fontId="0" fillId="4" borderId="44" xfId="0" applyNumberFormat="1" applyFill="1" applyBorder="1" applyAlignment="1">
      <alignment horizontal="center" vertical="center"/>
    </xf>
    <xf numFmtId="9" fontId="0" fillId="4" borderId="45" xfId="0" applyNumberFormat="1" applyFill="1" applyBorder="1" applyAlignment="1">
      <alignment horizontal="center" vertical="center"/>
    </xf>
    <xf numFmtId="0" fontId="0" fillId="4" borderId="8"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0" xfId="0" applyFill="1" applyAlignment="1">
      <alignment horizontal="center" vertical="center" wrapText="1"/>
    </xf>
    <xf numFmtId="0" fontId="0" fillId="4" borderId="2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3" fillId="14" borderId="60" xfId="0" applyFont="1" applyFill="1" applyBorder="1" applyAlignment="1">
      <alignment horizontal="center" vertical="center" wrapText="1"/>
    </xf>
    <xf numFmtId="0" fontId="3" fillId="14" borderId="32" xfId="0" applyFont="1" applyFill="1" applyBorder="1" applyAlignment="1">
      <alignment horizontal="center" vertical="center" wrapText="1"/>
    </xf>
    <xf numFmtId="0" fontId="3" fillId="14" borderId="61" xfId="0" applyFont="1" applyFill="1" applyBorder="1" applyAlignment="1">
      <alignment horizontal="center" vertical="center" wrapText="1"/>
    </xf>
    <xf numFmtId="187" fontId="3" fillId="14" borderId="60" xfId="0" applyNumberFormat="1" applyFont="1" applyFill="1" applyBorder="1" applyAlignment="1">
      <alignment horizontal="center" vertical="center"/>
    </xf>
    <xf numFmtId="187" fontId="3" fillId="14" borderId="32" xfId="0" applyNumberFormat="1" applyFont="1" applyFill="1" applyBorder="1" applyAlignment="1">
      <alignment horizontal="center" vertical="center"/>
    </xf>
    <xf numFmtId="187" fontId="3" fillId="14" borderId="33" xfId="0" applyNumberFormat="1" applyFont="1" applyFill="1" applyBorder="1" applyAlignment="1">
      <alignment horizontal="center" vertical="center"/>
    </xf>
    <xf numFmtId="187" fontId="3" fillId="11" borderId="60" xfId="0" applyNumberFormat="1" applyFont="1" applyFill="1" applyBorder="1" applyAlignment="1">
      <alignment horizontal="center" vertical="center"/>
    </xf>
    <xf numFmtId="187" fontId="3" fillId="11" borderId="32" xfId="0" applyNumberFormat="1" applyFont="1" applyFill="1" applyBorder="1" applyAlignment="1">
      <alignment horizontal="center" vertical="center"/>
    </xf>
    <xf numFmtId="187" fontId="3" fillId="11" borderId="33" xfId="0" applyNumberFormat="1" applyFont="1" applyFill="1" applyBorder="1" applyAlignment="1">
      <alignment horizontal="center" vertical="center"/>
    </xf>
    <xf numFmtId="0" fontId="3" fillId="11" borderId="60"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61"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3" fillId="14" borderId="53" xfId="0" applyFont="1" applyFill="1" applyBorder="1" applyAlignment="1">
      <alignment horizontal="center" vertical="center" wrapText="1"/>
    </xf>
    <xf numFmtId="0" fontId="3" fillId="14" borderId="54" xfId="0" applyFont="1" applyFill="1" applyBorder="1" applyAlignment="1">
      <alignment horizontal="center" vertical="center" wrapText="1"/>
    </xf>
    <xf numFmtId="0" fontId="3" fillId="14" borderId="26" xfId="0" applyFont="1" applyFill="1" applyBorder="1" applyAlignment="1">
      <alignment horizontal="center" vertical="center" wrapText="1"/>
    </xf>
    <xf numFmtId="187" fontId="3" fillId="14" borderId="54" xfId="0" applyNumberFormat="1" applyFont="1" applyFill="1" applyBorder="1" applyAlignment="1">
      <alignment horizontal="center" vertical="center"/>
    </xf>
    <xf numFmtId="187" fontId="3" fillId="14" borderId="26" xfId="0" applyNumberFormat="1" applyFont="1" applyFill="1" applyBorder="1" applyAlignment="1">
      <alignment horizontal="center" vertical="center"/>
    </xf>
    <xf numFmtId="187" fontId="3" fillId="14" borderId="27" xfId="0" applyNumberFormat="1" applyFont="1" applyFill="1" applyBorder="1" applyAlignment="1">
      <alignment horizontal="center" vertical="center"/>
    </xf>
    <xf numFmtId="0" fontId="3" fillId="14" borderId="34" xfId="0" applyFont="1" applyFill="1" applyBorder="1" applyAlignment="1">
      <alignment horizontal="center" vertical="center" wrapText="1"/>
    </xf>
    <xf numFmtId="0" fontId="0" fillId="4" borderId="34" xfId="0" applyFill="1" applyBorder="1" applyAlignment="1">
      <alignment horizontal="center" vertical="center" wrapText="1"/>
    </xf>
    <xf numFmtId="0" fontId="0" fillId="15" borderId="60" xfId="0" applyFill="1" applyBorder="1" applyAlignment="1">
      <alignment horizontal="center" vertical="center" wrapText="1"/>
    </xf>
    <xf numFmtId="0" fontId="0" fillId="15" borderId="32" xfId="0" applyFill="1" applyBorder="1" applyAlignment="1">
      <alignment horizontal="center" vertical="center" wrapText="1"/>
    </xf>
    <xf numFmtId="0" fontId="0" fillId="15" borderId="61" xfId="0" applyFill="1" applyBorder="1" applyAlignment="1">
      <alignment horizontal="center" vertical="center" wrapText="1"/>
    </xf>
    <xf numFmtId="3" fontId="77" fillId="2" borderId="60" xfId="0" applyNumberFormat="1" applyFont="1" applyFill="1" applyBorder="1" applyAlignment="1" applyProtection="1">
      <alignment horizontal="center" vertical="center"/>
      <protection locked="0"/>
    </xf>
    <xf numFmtId="3" fontId="77" fillId="2" borderId="32" xfId="0" applyNumberFormat="1" applyFont="1" applyFill="1" applyBorder="1" applyAlignment="1" applyProtection="1">
      <alignment horizontal="center" vertical="center"/>
      <protection locked="0"/>
    </xf>
    <xf numFmtId="3" fontId="77" fillId="2" borderId="33" xfId="0" applyNumberFormat="1" applyFont="1" applyFill="1" applyBorder="1" applyAlignment="1" applyProtection="1">
      <alignment horizontal="center" vertical="center"/>
      <protection locked="0"/>
    </xf>
    <xf numFmtId="0" fontId="0" fillId="15" borderId="17" xfId="0" applyFill="1" applyBorder="1" applyAlignment="1">
      <alignment horizontal="center" vertical="center" wrapText="1"/>
    </xf>
    <xf numFmtId="0" fontId="0" fillId="15" borderId="18" xfId="0" applyFill="1" applyBorder="1" applyAlignment="1">
      <alignment horizontal="center" vertical="center" wrapText="1"/>
    </xf>
    <xf numFmtId="0" fontId="0" fillId="15" borderId="19" xfId="0" applyFill="1" applyBorder="1" applyAlignment="1">
      <alignment horizontal="center" vertical="center" wrapText="1"/>
    </xf>
    <xf numFmtId="0" fontId="77" fillId="2" borderId="17" xfId="0" applyFont="1" applyFill="1" applyBorder="1" applyAlignment="1" applyProtection="1">
      <alignment horizontal="center" vertical="center" wrapText="1"/>
      <protection locked="0"/>
    </xf>
    <xf numFmtId="0" fontId="77" fillId="2" borderId="18" xfId="0" applyFont="1" applyFill="1" applyBorder="1" applyAlignment="1" applyProtection="1">
      <alignment horizontal="center" vertical="center" wrapText="1"/>
      <protection locked="0"/>
    </xf>
    <xf numFmtId="0" fontId="77" fillId="2" borderId="19" xfId="0" applyFont="1" applyFill="1" applyBorder="1" applyAlignment="1" applyProtection="1">
      <alignment horizontal="center" vertical="center" wrapText="1"/>
      <protection locked="0"/>
    </xf>
    <xf numFmtId="3" fontId="77" fillId="2" borderId="17" xfId="0" applyNumberFormat="1" applyFont="1" applyFill="1" applyBorder="1" applyAlignment="1" applyProtection="1">
      <alignment horizontal="center" vertical="center"/>
      <protection locked="0"/>
    </xf>
    <xf numFmtId="3" fontId="77" fillId="2" borderId="18" xfId="0" applyNumberFormat="1" applyFont="1" applyFill="1" applyBorder="1" applyAlignment="1" applyProtection="1">
      <alignment horizontal="center" vertical="center"/>
      <protection locked="0"/>
    </xf>
    <xf numFmtId="3" fontId="77" fillId="2" borderId="49" xfId="0" applyNumberFormat="1" applyFont="1" applyFill="1" applyBorder="1" applyAlignment="1" applyProtection="1">
      <alignment horizontal="center" vertical="center"/>
      <protection locked="0"/>
    </xf>
    <xf numFmtId="0" fontId="77" fillId="2" borderId="1" xfId="0" quotePrefix="1" applyFont="1" applyFill="1" applyBorder="1" applyAlignment="1" applyProtection="1">
      <alignment horizontal="center" vertical="center" wrapText="1"/>
      <protection locked="0"/>
    </xf>
    <xf numFmtId="0" fontId="0" fillId="4" borderId="12"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13" xfId="0" applyFill="1" applyBorder="1" applyAlignment="1">
      <alignment horizontal="center" vertical="center" wrapText="1"/>
    </xf>
    <xf numFmtId="0" fontId="0" fillId="15" borderId="14" xfId="0" applyFill="1" applyBorder="1" applyAlignment="1">
      <alignment horizontal="center" vertical="center" wrapText="1"/>
    </xf>
    <xf numFmtId="0" fontId="77" fillId="2" borderId="15" xfId="0" applyFont="1" applyFill="1" applyBorder="1" applyAlignment="1" applyProtection="1">
      <alignment horizontal="center" vertical="center" wrapText="1"/>
      <protection locked="0"/>
    </xf>
    <xf numFmtId="0" fontId="77" fillId="2" borderId="13" xfId="0" applyFont="1" applyFill="1" applyBorder="1" applyAlignment="1" applyProtection="1">
      <alignment horizontal="center" vertical="center" wrapText="1"/>
      <protection locked="0"/>
    </xf>
    <xf numFmtId="0" fontId="77" fillId="2" borderId="14" xfId="0" applyFont="1" applyFill="1" applyBorder="1" applyAlignment="1" applyProtection="1">
      <alignment horizontal="center" vertical="center" wrapText="1"/>
      <protection locked="0"/>
    </xf>
    <xf numFmtId="3" fontId="77" fillId="2" borderId="15" xfId="0" applyNumberFormat="1" applyFont="1" applyFill="1" applyBorder="1" applyAlignment="1" applyProtection="1">
      <alignment horizontal="center" vertical="center"/>
      <protection locked="0"/>
    </xf>
    <xf numFmtId="3" fontId="77" fillId="2" borderId="13" xfId="0" applyNumberFormat="1" applyFont="1" applyFill="1" applyBorder="1" applyAlignment="1" applyProtection="1">
      <alignment horizontal="center" vertical="center"/>
      <protection locked="0"/>
    </xf>
    <xf numFmtId="3" fontId="77" fillId="2" borderId="16" xfId="0" applyNumberFormat="1" applyFont="1" applyFill="1" applyBorder="1" applyAlignment="1" applyProtection="1">
      <alignment horizontal="center" vertical="center"/>
      <protection locked="0"/>
    </xf>
    <xf numFmtId="0" fontId="0" fillId="16" borderId="17" xfId="0" applyFill="1" applyBorder="1" applyAlignment="1">
      <alignment horizontal="center" vertical="center" wrapText="1"/>
    </xf>
    <xf numFmtId="0" fontId="0" fillId="16" borderId="18" xfId="0" applyFill="1" applyBorder="1" applyAlignment="1">
      <alignment horizontal="center" vertical="center" wrapText="1"/>
    </xf>
    <xf numFmtId="0" fontId="0" fillId="16" borderId="19" xfId="0" applyFill="1" applyBorder="1" applyAlignment="1">
      <alignment horizontal="center" vertical="center" wrapText="1"/>
    </xf>
    <xf numFmtId="0" fontId="3" fillId="13" borderId="25" xfId="0" applyFont="1" applyFill="1" applyBorder="1" applyAlignment="1">
      <alignment horizontal="center" vertical="center" wrapText="1"/>
    </xf>
    <xf numFmtId="0" fontId="3" fillId="13" borderId="53" xfId="0" applyFont="1" applyFill="1" applyBorder="1" applyAlignment="1">
      <alignment horizontal="center" vertical="center" wrapText="1"/>
    </xf>
    <xf numFmtId="0" fontId="3" fillId="13" borderId="54" xfId="0" quotePrefix="1" applyFont="1" applyFill="1" applyBorder="1" applyAlignment="1">
      <alignment horizontal="center" vertical="center" wrapText="1"/>
    </xf>
    <xf numFmtId="0" fontId="3" fillId="13" borderId="26" xfId="0" applyFont="1" applyFill="1" applyBorder="1" applyAlignment="1">
      <alignment horizontal="center" vertical="center" wrapText="1"/>
    </xf>
    <xf numFmtId="0" fontId="3" fillId="13" borderId="54" xfId="0" applyFont="1" applyFill="1" applyBorder="1" applyAlignment="1">
      <alignment horizontal="center" vertical="center" wrapText="1"/>
    </xf>
    <xf numFmtId="187" fontId="3" fillId="13" borderId="54" xfId="0" applyNumberFormat="1" applyFont="1" applyFill="1" applyBorder="1" applyAlignment="1">
      <alignment horizontal="center" vertical="center"/>
    </xf>
    <xf numFmtId="187" fontId="3" fillId="13" borderId="26" xfId="0" applyNumberFormat="1" applyFont="1" applyFill="1" applyBorder="1" applyAlignment="1">
      <alignment horizontal="center" vertical="center"/>
    </xf>
    <xf numFmtId="187" fontId="3" fillId="13" borderId="27" xfId="0" applyNumberFormat="1" applyFont="1" applyFill="1" applyBorder="1" applyAlignment="1">
      <alignment horizontal="center" vertical="center"/>
    </xf>
    <xf numFmtId="0" fontId="0" fillId="16" borderId="15"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14" xfId="0"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53" xfId="0" applyFont="1" applyFill="1" applyBorder="1" applyAlignment="1">
      <alignment horizontal="center" vertical="center" wrapText="1"/>
    </xf>
    <xf numFmtId="0" fontId="3" fillId="11" borderId="54" xfId="0" applyFont="1" applyFill="1" applyBorder="1" applyAlignment="1">
      <alignment horizontal="center" vertical="center" wrapText="1"/>
    </xf>
    <xf numFmtId="0" fontId="3" fillId="11" borderId="26" xfId="0" applyFont="1" applyFill="1" applyBorder="1" applyAlignment="1">
      <alignment horizontal="center" vertical="center" wrapText="1"/>
    </xf>
    <xf numFmtId="187" fontId="3" fillId="11" borderId="54" xfId="0" applyNumberFormat="1" applyFont="1" applyFill="1" applyBorder="1" applyAlignment="1">
      <alignment horizontal="center" vertical="center"/>
    </xf>
    <xf numFmtId="187" fontId="3" fillId="11" borderId="26" xfId="0" applyNumberFormat="1" applyFont="1" applyFill="1" applyBorder="1" applyAlignment="1">
      <alignment horizontal="center" vertical="center"/>
    </xf>
    <xf numFmtId="187" fontId="3" fillId="11" borderId="27" xfId="0" applyNumberFormat="1" applyFont="1" applyFill="1" applyBorder="1" applyAlignment="1">
      <alignment horizontal="center" vertical="center"/>
    </xf>
    <xf numFmtId="0" fontId="0" fillId="16" borderId="60"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61" xfId="0" applyFill="1" applyBorder="1" applyAlignment="1">
      <alignment horizontal="center" vertical="center" wrapText="1"/>
    </xf>
    <xf numFmtId="0" fontId="71" fillId="0" borderId="0" xfId="0" applyFont="1" applyAlignment="1">
      <alignment horizontal="center" vertical="center"/>
    </xf>
    <xf numFmtId="0" fontId="49" fillId="0" borderId="0" xfId="0" applyFont="1" applyAlignment="1">
      <alignment horizontal="left" vertical="center"/>
    </xf>
    <xf numFmtId="0" fontId="70" fillId="0" borderId="0" xfId="0" applyFont="1" applyAlignment="1">
      <alignment horizontal="center" vertical="center"/>
    </xf>
    <xf numFmtId="0" fontId="55" fillId="0" borderId="1"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44" xfId="0" applyFont="1" applyBorder="1" applyAlignment="1">
      <alignment horizontal="center" vertical="center" wrapText="1"/>
    </xf>
    <xf numFmtId="0" fontId="55" fillId="0" borderId="45" xfId="0" applyFont="1" applyBorder="1" applyAlignment="1">
      <alignment horizontal="center" vertical="center" wrapText="1"/>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44" xfId="0" applyFont="1" applyBorder="1" applyAlignment="1">
      <alignment horizontal="center" vertical="center"/>
    </xf>
    <xf numFmtId="0" fontId="47" fillId="0" borderId="62" xfId="0" applyFont="1" applyBorder="1" applyAlignment="1">
      <alignment horizontal="center" vertical="center" wrapText="1"/>
    </xf>
    <xf numFmtId="0" fontId="47" fillId="0" borderId="59" xfId="0" applyFont="1" applyBorder="1" applyAlignment="1">
      <alignment horizontal="center" vertical="center"/>
    </xf>
    <xf numFmtId="0" fontId="47" fillId="0" borderId="41" xfId="0" applyFont="1" applyBorder="1" applyAlignment="1">
      <alignment horizontal="center" vertical="center"/>
    </xf>
    <xf numFmtId="0" fontId="47" fillId="0" borderId="1"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9" fillId="0" borderId="42" xfId="0" applyFont="1" applyBorder="1" applyAlignment="1">
      <alignment horizontal="center" vertical="center"/>
    </xf>
    <xf numFmtId="0" fontId="55" fillId="0" borderId="1" xfId="0" applyFont="1" applyBorder="1" applyAlignment="1">
      <alignment horizontal="left" vertical="center" wrapText="1"/>
    </xf>
    <xf numFmtId="0" fontId="55" fillId="0" borderId="42" xfId="0" applyFont="1" applyBorder="1" applyAlignment="1">
      <alignment horizontal="left" vertical="center" wrapText="1"/>
    </xf>
    <xf numFmtId="0" fontId="55" fillId="0" borderId="1" xfId="0" applyFont="1" applyBorder="1" applyAlignment="1">
      <alignment horizontal="center" vertical="center"/>
    </xf>
    <xf numFmtId="0" fontId="55" fillId="0" borderId="42" xfId="0" applyFont="1" applyBorder="1" applyAlignment="1">
      <alignment horizontal="center" vertical="center"/>
    </xf>
    <xf numFmtId="0" fontId="49" fillId="0" borderId="44" xfId="0" applyFont="1" applyBorder="1" applyAlignment="1">
      <alignment horizontal="center" vertical="center" wrapText="1"/>
    </xf>
    <xf numFmtId="0" fontId="49" fillId="0" borderId="59" xfId="0" applyFont="1" applyBorder="1" applyAlignment="1">
      <alignment horizontal="center" vertical="center"/>
    </xf>
    <xf numFmtId="0" fontId="55" fillId="0" borderId="59" xfId="0" applyFont="1" applyBorder="1" applyAlignment="1">
      <alignment horizontal="center" vertical="center"/>
    </xf>
    <xf numFmtId="0" fontId="55" fillId="0" borderId="63" xfId="0" applyFont="1" applyBorder="1" applyAlignment="1">
      <alignment horizontal="center" vertical="center"/>
    </xf>
    <xf numFmtId="0" fontId="59" fillId="23" borderId="25" xfId="0" applyFont="1" applyFill="1" applyBorder="1">
      <alignment vertical="center"/>
    </xf>
    <xf numFmtId="0" fontId="59" fillId="23" borderId="27" xfId="0" applyFont="1" applyFill="1" applyBorder="1">
      <alignment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68" fillId="0" borderId="35" xfId="0" applyFont="1" applyBorder="1" applyAlignment="1">
      <alignment horizontal="center" vertical="top"/>
    </xf>
    <xf numFmtId="0" fontId="68" fillId="0" borderId="0" xfId="0" applyFont="1" applyAlignment="1">
      <alignment horizontal="center" vertical="top"/>
    </xf>
    <xf numFmtId="0" fontId="68" fillId="0" borderId="36" xfId="0" applyFont="1" applyBorder="1" applyAlignment="1">
      <alignment horizontal="center" vertical="top"/>
    </xf>
    <xf numFmtId="0" fontId="47" fillId="3" borderId="34" xfId="0" applyFont="1" applyFill="1" applyBorder="1" applyAlignment="1">
      <alignment horizontal="center" vertical="center"/>
    </xf>
    <xf numFmtId="0" fontId="47" fillId="3" borderId="61" xfId="0" applyFont="1" applyFill="1" applyBorder="1" applyAlignment="1">
      <alignment horizontal="center" vertical="center"/>
    </xf>
    <xf numFmtId="0" fontId="47" fillId="3" borderId="55" xfId="0" applyFont="1" applyFill="1" applyBorder="1" applyAlignment="1">
      <alignment horizontal="center" vertical="center"/>
    </xf>
    <xf numFmtId="0" fontId="47" fillId="3" borderId="90" xfId="0" applyFont="1" applyFill="1" applyBorder="1" applyAlignment="1">
      <alignment horizontal="center" vertical="center"/>
    </xf>
    <xf numFmtId="0" fontId="47" fillId="3" borderId="65" xfId="0" applyFont="1" applyFill="1" applyBorder="1" applyAlignment="1">
      <alignment horizontal="center" vertical="center" wrapText="1"/>
    </xf>
    <xf numFmtId="0" fontId="47" fillId="3" borderId="91" xfId="0" applyFont="1" applyFill="1" applyBorder="1" applyAlignment="1">
      <alignment horizontal="center" vertical="center" wrapText="1"/>
    </xf>
    <xf numFmtId="0" fontId="47" fillId="3" borderId="60" xfId="0" applyFont="1" applyFill="1" applyBorder="1" applyAlignment="1">
      <alignment horizontal="center" vertical="center"/>
    </xf>
    <xf numFmtId="0" fontId="47" fillId="3" borderId="32" xfId="0" applyFont="1" applyFill="1" applyBorder="1" applyAlignment="1">
      <alignment horizontal="center" vertical="center"/>
    </xf>
    <xf numFmtId="0" fontId="47" fillId="3" borderId="92" xfId="0" applyFont="1" applyFill="1" applyBorder="1" applyAlignment="1">
      <alignment horizontal="center" vertical="center"/>
    </xf>
    <xf numFmtId="0" fontId="47" fillId="3" borderId="56" xfId="0" applyFont="1" applyFill="1" applyBorder="1" applyAlignment="1">
      <alignment horizontal="center" vertical="center"/>
    </xf>
    <xf numFmtId="0" fontId="47" fillId="3" borderId="8"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93" xfId="0" applyFont="1" applyFill="1" applyBorder="1" applyAlignment="1">
      <alignment horizontal="center" vertical="center"/>
    </xf>
    <xf numFmtId="0" fontId="47" fillId="3" borderId="94" xfId="0" applyFont="1" applyFill="1" applyBorder="1" applyAlignment="1">
      <alignment horizontal="center" vertical="center"/>
    </xf>
    <xf numFmtId="0" fontId="47" fillId="3" borderId="33" xfId="0" applyFont="1" applyFill="1" applyBorder="1" applyAlignment="1">
      <alignment horizontal="center" vertical="center"/>
    </xf>
    <xf numFmtId="0" fontId="47" fillId="3" borderId="95" xfId="0" applyFont="1" applyFill="1" applyBorder="1" applyAlignment="1">
      <alignment horizontal="center" vertical="center"/>
    </xf>
    <xf numFmtId="0" fontId="48" fillId="6" borderId="2" xfId="0" applyFont="1" applyFill="1" applyBorder="1" applyAlignment="1">
      <alignment horizontal="center" vertical="center" shrinkToFit="1"/>
    </xf>
    <xf numFmtId="0" fontId="48" fillId="6" borderId="3" xfId="0" applyFont="1" applyFill="1" applyBorder="1" applyAlignment="1">
      <alignment horizontal="center" vertical="center" shrinkToFit="1"/>
    </xf>
    <xf numFmtId="0" fontId="48" fillId="6" borderId="4" xfId="0" applyFont="1" applyFill="1" applyBorder="1" applyAlignment="1">
      <alignment horizontal="center" vertical="center" shrinkToFit="1"/>
    </xf>
    <xf numFmtId="0" fontId="68" fillId="0" borderId="12" xfId="0" applyFont="1" applyBorder="1" applyAlignment="1">
      <alignment horizontal="left" vertical="center"/>
    </xf>
    <xf numFmtId="0" fontId="68" fillId="0" borderId="13" xfId="0" applyFont="1" applyBorder="1" applyAlignment="1">
      <alignment horizontal="left" vertical="center"/>
    </xf>
    <xf numFmtId="0" fontId="68" fillId="0" borderId="16" xfId="0" applyFont="1" applyBorder="1" applyAlignment="1">
      <alignment horizontal="left" vertical="center"/>
    </xf>
    <xf numFmtId="0" fontId="69" fillId="0" borderId="35" xfId="0" applyFont="1" applyBorder="1" applyAlignment="1">
      <alignment horizontal="center" vertical="center"/>
    </xf>
    <xf numFmtId="0" fontId="69" fillId="0" borderId="0" xfId="0" applyFont="1" applyAlignment="1">
      <alignment horizontal="center" vertical="center"/>
    </xf>
    <xf numFmtId="0" fontId="69" fillId="0" borderId="36" xfId="0" applyFont="1" applyBorder="1" applyAlignment="1">
      <alignment horizontal="center" vertical="center"/>
    </xf>
    <xf numFmtId="0" fontId="68" fillId="0" borderId="0" xfId="0" applyFont="1" applyAlignment="1">
      <alignment horizontal="center"/>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177" fontId="48" fillId="0" borderId="2" xfId="0" applyNumberFormat="1" applyFont="1" applyBorder="1" applyAlignment="1">
      <alignment horizontal="center" vertical="center"/>
    </xf>
    <xf numFmtId="177" fontId="48" fillId="0" borderId="3" xfId="0" applyNumberFormat="1" applyFont="1" applyBorder="1" applyAlignment="1">
      <alignment horizontal="center" vertical="center"/>
    </xf>
    <xf numFmtId="177" fontId="48" fillId="0" borderId="4" xfId="0" applyNumberFormat="1" applyFont="1" applyBorder="1" applyAlignment="1">
      <alignment horizontal="center" vertical="center"/>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4" xfId="0" applyFont="1" applyBorder="1" applyAlignment="1">
      <alignment horizontal="center" vertical="center" shrinkToFit="1"/>
    </xf>
    <xf numFmtId="177" fontId="48" fillId="0" borderId="2" xfId="0" applyNumberFormat="1" applyFont="1" applyBorder="1" applyAlignment="1">
      <alignment horizontal="center" vertical="center" shrinkToFit="1"/>
    </xf>
    <xf numFmtId="177" fontId="48" fillId="0" borderId="3" xfId="0" applyNumberFormat="1" applyFont="1" applyBorder="1" applyAlignment="1">
      <alignment horizontal="center" vertical="center" shrinkToFit="1"/>
    </xf>
    <xf numFmtId="177" fontId="48" fillId="0" borderId="4" xfId="0" applyNumberFormat="1" applyFont="1" applyBorder="1" applyAlignment="1">
      <alignment horizontal="center" vertical="center" shrinkToFit="1"/>
    </xf>
    <xf numFmtId="0" fontId="68" fillId="0" borderId="1" xfId="0" applyFont="1" applyBorder="1" applyAlignment="1">
      <alignment horizontal="center" vertical="center"/>
    </xf>
    <xf numFmtId="0" fontId="68" fillId="0" borderId="42" xfId="0" applyFont="1" applyBorder="1" applyAlignment="1">
      <alignment horizontal="center" vertical="center"/>
    </xf>
    <xf numFmtId="0" fontId="68" fillId="0" borderId="1" xfId="0" applyFont="1" applyBorder="1" applyAlignment="1">
      <alignment horizontal="center" vertical="center" wrapText="1"/>
    </xf>
    <xf numFmtId="197" fontId="68" fillId="0" borderId="1" xfId="0" applyNumberFormat="1" applyFont="1" applyBorder="1" applyAlignment="1">
      <alignment horizontal="center" vertical="center"/>
    </xf>
    <xf numFmtId="197" fontId="68" fillId="0" borderId="42" xfId="0" applyNumberFormat="1" applyFont="1" applyBorder="1" applyAlignment="1">
      <alignment horizontal="center" vertical="center"/>
    </xf>
    <xf numFmtId="0" fontId="68" fillId="0" borderId="1" xfId="0" applyFont="1" applyBorder="1" applyAlignment="1">
      <alignment horizontal="center" vertical="center" shrinkToFit="1"/>
    </xf>
    <xf numFmtId="194" fontId="68" fillId="0" borderId="1" xfId="0" applyNumberFormat="1" applyFont="1" applyBorder="1" applyAlignment="1">
      <alignment horizontal="center" vertical="center"/>
    </xf>
    <xf numFmtId="194" fontId="68" fillId="0" borderId="42" xfId="0" applyNumberFormat="1" applyFont="1" applyBorder="1" applyAlignment="1">
      <alignment horizontal="center" vertical="center"/>
    </xf>
    <xf numFmtId="0" fontId="53" fillId="3" borderId="17" xfId="0" applyFont="1" applyFill="1" applyBorder="1" applyAlignment="1">
      <alignment horizontal="center" vertical="center"/>
    </xf>
    <xf numFmtId="0" fontId="53" fillId="3" borderId="18" xfId="0" applyFont="1" applyFill="1" applyBorder="1" applyAlignment="1">
      <alignment horizontal="center" vertical="center"/>
    </xf>
    <xf numFmtId="0" fontId="53" fillId="3" borderId="19" xfId="0" applyFont="1" applyFill="1" applyBorder="1" applyAlignment="1">
      <alignment horizontal="center" vertical="center"/>
    </xf>
    <xf numFmtId="0" fontId="53" fillId="3" borderId="22" xfId="0" applyFont="1" applyFill="1" applyBorder="1" applyAlignment="1">
      <alignment horizontal="center" vertical="center"/>
    </xf>
    <xf numFmtId="0" fontId="53" fillId="3" borderId="23" xfId="0" applyFont="1" applyFill="1" applyBorder="1" applyAlignment="1">
      <alignment horizontal="center" vertical="center"/>
    </xf>
    <xf numFmtId="0" fontId="53" fillId="3" borderId="24" xfId="0" applyFont="1" applyFill="1" applyBorder="1" applyAlignment="1">
      <alignment horizontal="center" vertical="center"/>
    </xf>
    <xf numFmtId="0" fontId="50" fillId="0" borderId="0" xfId="0" applyFont="1" applyAlignment="1">
      <alignment horizontal="center" vertical="center" wrapText="1"/>
    </xf>
    <xf numFmtId="0" fontId="52" fillId="0" borderId="0" xfId="0" applyFont="1" applyAlignment="1">
      <alignment horizontal="center" vertical="center"/>
    </xf>
    <xf numFmtId="0" fontId="51" fillId="0" borderId="1" xfId="0" applyFont="1" applyBorder="1" applyAlignment="1">
      <alignment horizontal="center" vertical="center"/>
    </xf>
    <xf numFmtId="0" fontId="67" fillId="3" borderId="34" xfId="0" applyFont="1" applyFill="1" applyBorder="1" applyAlignment="1">
      <alignment horizontal="center" vertical="center" wrapText="1"/>
    </xf>
    <xf numFmtId="0" fontId="67" fillId="3" borderId="61" xfId="0" applyFont="1" applyFill="1" applyBorder="1" applyAlignment="1">
      <alignment horizontal="center" vertical="center" wrapText="1"/>
    </xf>
    <xf numFmtId="0" fontId="67" fillId="3" borderId="35" xfId="0" applyFont="1" applyFill="1" applyBorder="1" applyAlignment="1">
      <alignment horizontal="center" vertical="center" wrapText="1"/>
    </xf>
    <xf numFmtId="0" fontId="67" fillId="3" borderId="21" xfId="0" applyFont="1" applyFill="1" applyBorder="1" applyAlignment="1">
      <alignment horizontal="center" vertical="center" wrapText="1"/>
    </xf>
    <xf numFmtId="0" fontId="67" fillId="3" borderId="28" xfId="0" applyFont="1" applyFill="1" applyBorder="1" applyAlignment="1">
      <alignment horizontal="center" vertical="center" wrapText="1"/>
    </xf>
    <xf numFmtId="0" fontId="67" fillId="3" borderId="37" xfId="0" applyFont="1" applyFill="1" applyBorder="1" applyAlignment="1">
      <alignment horizontal="center" vertical="center" wrapText="1"/>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46" fillId="22" borderId="38" xfId="0" applyFont="1" applyFill="1" applyBorder="1" applyAlignment="1">
      <alignment horizontal="center" vertical="center"/>
    </xf>
    <xf numFmtId="0" fontId="46" fillId="22" borderId="39" xfId="0" applyFont="1" applyFill="1" applyBorder="1" applyAlignment="1">
      <alignment horizontal="center" vertical="center"/>
    </xf>
    <xf numFmtId="0" fontId="46" fillId="22" borderId="40" xfId="0" applyFont="1" applyFill="1" applyBorder="1" applyAlignment="1">
      <alignment horizontal="center" vertical="center"/>
    </xf>
    <xf numFmtId="0" fontId="46" fillId="22" borderId="80" xfId="0" applyFont="1" applyFill="1" applyBorder="1" applyAlignment="1">
      <alignment horizontal="center" vertical="center"/>
    </xf>
    <xf numFmtId="0" fontId="46" fillId="22" borderId="79" xfId="0" applyFont="1" applyFill="1" applyBorder="1" applyAlignment="1">
      <alignment horizontal="center" vertical="center"/>
    </xf>
    <xf numFmtId="0" fontId="46" fillId="22" borderId="81" xfId="0" applyFont="1" applyFill="1" applyBorder="1" applyAlignment="1">
      <alignment horizontal="center" vertical="center"/>
    </xf>
    <xf numFmtId="0" fontId="68" fillId="0" borderId="59" xfId="0" applyFont="1" applyBorder="1" applyAlignment="1">
      <alignment horizontal="center" vertical="center"/>
    </xf>
    <xf numFmtId="195" fontId="68" fillId="0" borderId="59" xfId="0" applyNumberFormat="1" applyFont="1" applyBorder="1" applyAlignment="1">
      <alignment horizontal="center" vertical="center"/>
    </xf>
    <xf numFmtId="195" fontId="68" fillId="0" borderId="6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42" xfId="0" applyNumberFormat="1" applyFont="1" applyBorder="1" applyAlignment="1">
      <alignment horizontal="center" vertical="center"/>
    </xf>
    <xf numFmtId="0" fontId="68" fillId="0" borderId="39"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19" xfId="0" applyFont="1" applyBorder="1" applyAlignment="1">
      <alignment horizontal="center" vertical="center"/>
    </xf>
    <xf numFmtId="0" fontId="68" fillId="0" borderId="22" xfId="0" applyFont="1" applyBorder="1" applyAlignment="1">
      <alignment horizontal="center" vertical="center"/>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7" fillId="3" borderId="87" xfId="0" applyFont="1" applyFill="1" applyBorder="1" applyAlignment="1">
      <alignment horizontal="center" vertical="center" wrapText="1"/>
    </xf>
    <xf numFmtId="0" fontId="67" fillId="3" borderId="88" xfId="0" applyFont="1" applyFill="1" applyBorder="1" applyAlignment="1">
      <alignment horizontal="center" vertical="center" wrapText="1"/>
    </xf>
    <xf numFmtId="0" fontId="68" fillId="0" borderId="15"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6" xfId="0" applyFont="1" applyBorder="1" applyAlignment="1">
      <alignment horizontal="center" vertical="center"/>
    </xf>
    <xf numFmtId="0" fontId="68" fillId="0" borderId="49" xfId="0" applyFont="1" applyBorder="1" applyAlignment="1">
      <alignment horizontal="center" vertical="center"/>
    </xf>
    <xf numFmtId="0" fontId="68" fillId="0" borderId="86" xfId="0" applyFont="1" applyBorder="1" applyAlignment="1">
      <alignment horizontal="center" vertical="center"/>
    </xf>
    <xf numFmtId="0" fontId="68" fillId="0" borderId="20" xfId="0" applyFont="1" applyBorder="1" applyAlignment="1">
      <alignment horizontal="center" vertical="center"/>
    </xf>
    <xf numFmtId="0" fontId="68" fillId="0" borderId="0" xfId="0" applyFont="1" applyAlignment="1">
      <alignment horizontal="center" vertical="center"/>
    </xf>
    <xf numFmtId="0" fontId="68" fillId="0" borderId="21" xfId="0" applyFont="1" applyBorder="1" applyAlignment="1">
      <alignment horizontal="center" vertical="center"/>
    </xf>
    <xf numFmtId="196" fontId="68" fillId="0" borderId="1" xfId="0" applyNumberFormat="1" applyFont="1" applyBorder="1" applyAlignment="1">
      <alignment horizontal="center" vertical="center"/>
    </xf>
    <xf numFmtId="196" fontId="68" fillId="0" borderId="42" xfId="0" applyNumberFormat="1" applyFont="1" applyBorder="1" applyAlignment="1">
      <alignment horizontal="center" vertical="center"/>
    </xf>
    <xf numFmtId="195" fontId="68" fillId="0" borderId="39" xfId="0" applyNumberFormat="1" applyFont="1" applyBorder="1" applyAlignment="1">
      <alignment horizontal="center" vertical="center"/>
    </xf>
    <xf numFmtId="195" fontId="68" fillId="0" borderId="40" xfId="0" applyNumberFormat="1" applyFont="1" applyBorder="1" applyAlignment="1">
      <alignment horizontal="center" vertical="center"/>
    </xf>
    <xf numFmtId="0" fontId="68" fillId="0" borderId="50" xfId="0" applyFont="1" applyBorder="1" applyAlignment="1">
      <alignment horizontal="center" vertical="center"/>
    </xf>
    <xf numFmtId="0" fontId="68" fillId="0" borderId="29" xfId="0" applyFont="1" applyBorder="1" applyAlignment="1">
      <alignment horizontal="center" vertical="center"/>
    </xf>
    <xf numFmtId="0" fontId="68" fillId="0" borderId="37" xfId="0" applyFont="1" applyBorder="1" applyAlignment="1">
      <alignment horizontal="center" vertical="center"/>
    </xf>
    <xf numFmtId="0" fontId="68" fillId="0" borderId="17"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29"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5" xfId="0" applyFont="1" applyBorder="1" applyAlignment="1">
      <alignment horizontal="center" vertical="center" shrinkToFit="1"/>
    </xf>
    <xf numFmtId="0" fontId="68" fillId="0" borderId="14" xfId="0" applyFont="1" applyBorder="1" applyAlignment="1">
      <alignment horizontal="center" vertical="center" shrinkToFit="1"/>
    </xf>
    <xf numFmtId="197" fontId="68" fillId="0" borderId="2" xfId="0" applyNumberFormat="1" applyFont="1" applyBorder="1" applyAlignment="1">
      <alignment horizontal="center" vertical="center"/>
    </xf>
    <xf numFmtId="197" fontId="68" fillId="0" borderId="3" xfId="0" applyNumberFormat="1" applyFont="1" applyBorder="1" applyAlignment="1">
      <alignment horizontal="center" vertical="center"/>
    </xf>
    <xf numFmtId="197" fontId="68" fillId="0" borderId="11" xfId="0" applyNumberFormat="1" applyFont="1" applyBorder="1" applyAlignment="1">
      <alignment horizontal="center" vertical="center"/>
    </xf>
    <xf numFmtId="194" fontId="68" fillId="0" borderId="15" xfId="0" applyNumberFormat="1" applyFont="1" applyBorder="1" applyAlignment="1">
      <alignment horizontal="center" vertical="center"/>
    </xf>
    <xf numFmtId="194" fontId="68" fillId="0" borderId="13" xfId="0" applyNumberFormat="1" applyFont="1" applyBorder="1" applyAlignment="1">
      <alignment horizontal="center" vertical="center"/>
    </xf>
    <xf numFmtId="194" fontId="68" fillId="0" borderId="16" xfId="0" applyNumberFormat="1" applyFont="1" applyBorder="1" applyAlignment="1">
      <alignment horizontal="center" vertical="center"/>
    </xf>
    <xf numFmtId="0" fontId="54" fillId="0" borderId="23" xfId="0" applyFont="1" applyBorder="1" applyAlignment="1">
      <alignment horizontal="right" vertical="center"/>
    </xf>
    <xf numFmtId="190" fontId="60" fillId="0" borderId="17" xfId="0" applyNumberFormat="1" applyFont="1" applyBorder="1" applyAlignment="1">
      <alignment horizontal="center" vertical="center"/>
    </xf>
    <xf numFmtId="190" fontId="60" fillId="0" borderId="19" xfId="0" applyNumberFormat="1" applyFont="1" applyBorder="1" applyAlignment="1">
      <alignment horizontal="center" vertical="center"/>
    </xf>
    <xf numFmtId="190" fontId="60" fillId="0" borderId="22" xfId="0" applyNumberFormat="1" applyFont="1" applyBorder="1" applyAlignment="1">
      <alignment horizontal="center" vertical="center"/>
    </xf>
    <xf numFmtId="190" fontId="60" fillId="0" borderId="24" xfId="0" applyNumberFormat="1" applyFont="1" applyBorder="1" applyAlignment="1">
      <alignment horizontal="center" vertical="center"/>
    </xf>
    <xf numFmtId="0" fontId="11" fillId="0" borderId="21" xfId="0" applyFont="1" applyBorder="1" applyAlignment="1">
      <alignment horizontal="center" vertical="center" shrinkToFit="1"/>
    </xf>
    <xf numFmtId="0" fontId="60" fillId="0" borderId="17"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4" xfId="0" applyFont="1" applyBorder="1" applyAlignment="1">
      <alignment horizontal="center" vertical="center" wrapText="1"/>
    </xf>
    <xf numFmtId="9" fontId="60" fillId="0" borderId="17" xfId="0" applyNumberFormat="1" applyFont="1" applyBorder="1" applyAlignment="1">
      <alignment horizontal="center" vertical="center"/>
    </xf>
    <xf numFmtId="9" fontId="60" fillId="0" borderId="19" xfId="0" applyNumberFormat="1" applyFont="1" applyBorder="1" applyAlignment="1">
      <alignment horizontal="center" vertical="center"/>
    </xf>
    <xf numFmtId="9" fontId="60" fillId="0" borderId="22" xfId="0" applyNumberFormat="1" applyFont="1" applyBorder="1" applyAlignment="1">
      <alignment horizontal="center" vertical="center"/>
    </xf>
    <xf numFmtId="9" fontId="60" fillId="0" borderId="24" xfId="0" applyNumberFormat="1" applyFont="1" applyBorder="1" applyAlignment="1">
      <alignment horizontal="center" vertical="center"/>
    </xf>
    <xf numFmtId="189" fontId="60" fillId="0" borderId="17" xfId="0" applyNumberFormat="1" applyFont="1" applyBorder="1" applyAlignment="1">
      <alignment horizontal="center" vertical="center" wrapText="1"/>
    </xf>
    <xf numFmtId="189" fontId="60" fillId="0" borderId="18" xfId="0" applyNumberFormat="1" applyFont="1" applyBorder="1" applyAlignment="1">
      <alignment horizontal="center" vertical="center" wrapText="1"/>
    </xf>
    <xf numFmtId="189" fontId="60" fillId="0" borderId="19" xfId="0" applyNumberFormat="1" applyFont="1" applyBorder="1" applyAlignment="1">
      <alignment horizontal="center" vertical="center" wrapText="1"/>
    </xf>
    <xf numFmtId="189" fontId="60" fillId="0" borderId="22" xfId="0" applyNumberFormat="1" applyFont="1" applyBorder="1" applyAlignment="1">
      <alignment horizontal="center" vertical="center" wrapText="1"/>
    </xf>
    <xf numFmtId="189" fontId="60" fillId="0" borderId="23" xfId="0" applyNumberFormat="1" applyFont="1" applyBorder="1" applyAlignment="1">
      <alignment horizontal="center" vertical="center" wrapText="1"/>
    </xf>
    <xf numFmtId="189" fontId="60" fillId="0" borderId="24" xfId="0" applyNumberFormat="1" applyFont="1" applyBorder="1" applyAlignment="1">
      <alignment horizontal="center" vertical="center" wrapText="1"/>
    </xf>
    <xf numFmtId="187" fontId="60" fillId="0" borderId="17" xfId="1" applyNumberFormat="1" applyFont="1" applyBorder="1" applyAlignment="1" applyProtection="1">
      <alignment horizontal="center" vertical="center" wrapText="1"/>
    </xf>
    <xf numFmtId="187" fontId="60" fillId="0" borderId="18" xfId="1" applyNumberFormat="1" applyFont="1" applyBorder="1" applyAlignment="1" applyProtection="1">
      <alignment horizontal="center" vertical="center" wrapText="1"/>
    </xf>
    <xf numFmtId="187" fontId="60" fillId="0" borderId="19" xfId="1" applyNumberFormat="1" applyFont="1" applyBorder="1" applyAlignment="1" applyProtection="1">
      <alignment horizontal="center" vertical="center" wrapText="1"/>
    </xf>
    <xf numFmtId="187" fontId="60" fillId="0" borderId="22" xfId="1" applyNumberFormat="1" applyFont="1" applyBorder="1" applyAlignment="1" applyProtection="1">
      <alignment horizontal="center" vertical="center" wrapText="1"/>
    </xf>
    <xf numFmtId="187" fontId="60" fillId="0" borderId="23" xfId="1" applyNumberFormat="1" applyFont="1" applyBorder="1" applyAlignment="1" applyProtection="1">
      <alignment horizontal="center" vertical="center" wrapText="1"/>
    </xf>
    <xf numFmtId="187" fontId="60" fillId="0" borderId="24" xfId="1" applyNumberFormat="1" applyFont="1" applyBorder="1" applyAlignment="1" applyProtection="1">
      <alignment horizontal="center" vertical="center" wrapText="1"/>
    </xf>
    <xf numFmtId="187" fontId="60" fillId="0" borderId="17" xfId="0" applyNumberFormat="1" applyFont="1" applyBorder="1" applyAlignment="1">
      <alignment horizontal="center" vertical="center" wrapText="1"/>
    </xf>
    <xf numFmtId="187" fontId="60" fillId="0" borderId="18" xfId="0" applyNumberFormat="1" applyFont="1" applyBorder="1" applyAlignment="1">
      <alignment horizontal="center" vertical="center" wrapText="1"/>
    </xf>
    <xf numFmtId="187" fontId="60" fillId="0" borderId="19" xfId="0" applyNumberFormat="1" applyFont="1" applyBorder="1" applyAlignment="1">
      <alignment horizontal="center" vertical="center" wrapText="1"/>
    </xf>
    <xf numFmtId="187" fontId="60" fillId="0" borderId="22" xfId="0" applyNumberFormat="1" applyFont="1" applyBorder="1" applyAlignment="1">
      <alignment horizontal="center" vertical="center" wrapText="1"/>
    </xf>
    <xf numFmtId="187" fontId="60" fillId="0" borderId="23" xfId="0" applyNumberFormat="1" applyFont="1" applyBorder="1" applyAlignment="1">
      <alignment horizontal="center" vertical="center" wrapText="1"/>
    </xf>
    <xf numFmtId="187" fontId="60" fillId="0" borderId="24" xfId="0" applyNumberFormat="1" applyFont="1" applyBorder="1" applyAlignment="1">
      <alignment horizontal="center" vertical="center" wrapText="1"/>
    </xf>
    <xf numFmtId="0" fontId="60" fillId="0" borderId="18"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1" xfId="0" applyFont="1" applyBorder="1" applyAlignment="1">
      <alignment horizontal="center" vertical="center" wrapText="1"/>
    </xf>
    <xf numFmtId="187" fontId="60" fillId="0" borderId="17" xfId="0" applyNumberFormat="1" applyFont="1" applyBorder="1" applyAlignment="1">
      <alignment horizontal="center" vertical="center" wrapText="1" shrinkToFit="1"/>
    </xf>
    <xf numFmtId="187" fontId="60" fillId="0" borderId="18" xfId="0" applyNumberFormat="1" applyFont="1" applyBorder="1" applyAlignment="1">
      <alignment horizontal="center" vertical="center" wrapText="1" shrinkToFit="1"/>
    </xf>
    <xf numFmtId="187" fontId="60" fillId="0" borderId="19" xfId="0" applyNumberFormat="1" applyFont="1" applyBorder="1" applyAlignment="1">
      <alignment horizontal="center" vertical="center" wrapText="1" shrinkToFit="1"/>
    </xf>
    <xf numFmtId="187" fontId="60" fillId="0" borderId="22" xfId="0" applyNumberFormat="1" applyFont="1" applyBorder="1" applyAlignment="1">
      <alignment horizontal="center" vertical="center" wrapText="1" shrinkToFit="1"/>
    </xf>
    <xf numFmtId="187" fontId="60" fillId="0" borderId="23" xfId="0" applyNumberFormat="1" applyFont="1" applyBorder="1" applyAlignment="1">
      <alignment horizontal="center" vertical="center" wrapText="1" shrinkToFit="1"/>
    </xf>
    <xf numFmtId="187" fontId="60" fillId="0" borderId="24" xfId="0" applyNumberFormat="1" applyFont="1" applyBorder="1" applyAlignment="1">
      <alignment horizontal="center" vertical="center" wrapText="1" shrinkToFit="1"/>
    </xf>
    <xf numFmtId="189" fontId="60" fillId="0" borderId="17" xfId="0" applyNumberFormat="1" applyFont="1" applyBorder="1" applyAlignment="1">
      <alignment horizontal="center" vertical="center" wrapText="1" shrinkToFit="1"/>
    </xf>
    <xf numFmtId="189" fontId="60" fillId="0" borderId="18" xfId="0" applyNumberFormat="1" applyFont="1" applyBorder="1" applyAlignment="1">
      <alignment horizontal="center" vertical="center" wrapText="1" shrinkToFit="1"/>
    </xf>
    <xf numFmtId="189" fontId="60" fillId="0" borderId="19" xfId="0" applyNumberFormat="1" applyFont="1" applyBorder="1" applyAlignment="1">
      <alignment horizontal="center" vertical="center" wrapText="1" shrinkToFit="1"/>
    </xf>
    <xf numFmtId="189" fontId="60" fillId="0" borderId="22" xfId="0" applyNumberFormat="1" applyFont="1" applyBorder="1" applyAlignment="1">
      <alignment horizontal="center" vertical="center" wrapText="1" shrinkToFit="1"/>
    </xf>
    <xf numFmtId="189" fontId="60" fillId="0" borderId="23" xfId="0" applyNumberFormat="1" applyFont="1" applyBorder="1" applyAlignment="1">
      <alignment horizontal="center" vertical="center" wrapText="1" shrinkToFit="1"/>
    </xf>
    <xf numFmtId="189" fontId="60" fillId="0" borderId="24" xfId="0" applyNumberFormat="1" applyFont="1" applyBorder="1" applyAlignment="1">
      <alignment horizontal="center" vertical="center" wrapText="1" shrinkToFit="1"/>
    </xf>
    <xf numFmtId="192" fontId="60" fillId="0" borderId="17" xfId="0" applyNumberFormat="1" applyFont="1" applyBorder="1" applyAlignment="1">
      <alignment horizontal="center" vertical="center" wrapText="1" shrinkToFit="1"/>
    </xf>
    <xf numFmtId="192" fontId="60" fillId="0" borderId="18" xfId="0" applyNumberFormat="1" applyFont="1" applyBorder="1" applyAlignment="1">
      <alignment horizontal="center" vertical="center" wrapText="1" shrinkToFit="1"/>
    </xf>
    <xf numFmtId="192" fontId="60" fillId="0" borderId="19" xfId="0" applyNumberFormat="1" applyFont="1" applyBorder="1" applyAlignment="1">
      <alignment horizontal="center" vertical="center" wrapText="1" shrinkToFit="1"/>
    </xf>
    <xf numFmtId="192" fontId="60" fillId="0" borderId="22" xfId="0" applyNumberFormat="1" applyFont="1" applyBorder="1" applyAlignment="1">
      <alignment horizontal="center" vertical="center" wrapText="1" shrinkToFit="1"/>
    </xf>
    <xf numFmtId="192" fontId="60" fillId="0" borderId="23" xfId="0" applyNumberFormat="1" applyFont="1" applyBorder="1" applyAlignment="1">
      <alignment horizontal="center" vertical="center" wrapText="1" shrinkToFit="1"/>
    </xf>
    <xf numFmtId="192" fontId="60" fillId="0" borderId="24" xfId="0" applyNumberFormat="1" applyFont="1" applyBorder="1" applyAlignment="1">
      <alignment horizontal="center" vertical="center" wrapText="1" shrinkToFit="1"/>
    </xf>
    <xf numFmtId="0" fontId="48" fillId="0" borderId="1" xfId="0" applyFont="1" applyBorder="1" applyAlignment="1">
      <alignment horizontal="center" vertical="center" wrapText="1"/>
    </xf>
    <xf numFmtId="0" fontId="54" fillId="0" borderId="0" xfId="0" applyFont="1" applyAlignment="1">
      <alignment horizontal="left" vertical="top"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24" xfId="0" applyFont="1" applyBorder="1" applyAlignment="1">
      <alignment horizontal="center" vertical="center" wrapText="1"/>
    </xf>
    <xf numFmtId="0" fontId="47" fillId="3"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left" vertical="center" shrinkToFit="1"/>
    </xf>
    <xf numFmtId="0" fontId="48" fillId="0" borderId="1" xfId="0" applyFont="1" applyBorder="1" applyAlignment="1">
      <alignment horizontal="left" vertical="center"/>
    </xf>
    <xf numFmtId="9" fontId="48" fillId="0" borderId="1" xfId="0" applyNumberFormat="1" applyFont="1" applyBorder="1" applyAlignment="1">
      <alignment horizontal="center" vertical="center"/>
    </xf>
    <xf numFmtId="189" fontId="48" fillId="0" borderId="1" xfId="1" applyNumberFormat="1" applyFont="1" applyBorder="1" applyAlignment="1" applyProtection="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9" xfId="0" applyFont="1" applyFill="1" applyBorder="1" applyAlignment="1">
      <alignment horizontal="center" vertical="center"/>
    </xf>
    <xf numFmtId="0" fontId="47" fillId="3" borderId="22"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24" xfId="0" applyFont="1" applyFill="1" applyBorder="1" applyAlignment="1">
      <alignment horizontal="center" vertical="center"/>
    </xf>
    <xf numFmtId="0" fontId="48" fillId="0" borderId="17" xfId="0" applyFont="1" applyBorder="1" applyAlignment="1">
      <alignment horizontal="center" vertical="center" wrapText="1" shrinkToFit="1"/>
    </xf>
    <xf numFmtId="0" fontId="48" fillId="0" borderId="18" xfId="0" applyFont="1" applyBorder="1" applyAlignment="1">
      <alignment horizontal="center" vertical="center" wrapText="1" shrinkToFit="1"/>
    </xf>
    <xf numFmtId="0" fontId="48" fillId="0" borderId="19" xfId="0" applyFont="1" applyBorder="1" applyAlignment="1">
      <alignment horizontal="center" vertical="center" wrapText="1" shrinkToFit="1"/>
    </xf>
    <xf numFmtId="0" fontId="48" fillId="0" borderId="22" xfId="0" applyFont="1" applyBorder="1" applyAlignment="1">
      <alignment horizontal="center" vertical="center" wrapText="1" shrinkToFit="1"/>
    </xf>
    <xf numFmtId="0" fontId="48" fillId="0" borderId="23" xfId="0" applyFont="1" applyBorder="1" applyAlignment="1">
      <alignment horizontal="center" vertical="center" wrapText="1" shrinkToFit="1"/>
    </xf>
    <xf numFmtId="0" fontId="48" fillId="0" borderId="24" xfId="0" applyFont="1" applyBorder="1" applyAlignment="1">
      <alignment horizontal="center" vertical="center" wrapText="1" shrinkToFit="1"/>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193" fontId="48" fillId="0" borderId="2" xfId="0" applyNumberFormat="1" applyFont="1" applyBorder="1" applyAlignment="1">
      <alignment horizontal="center" vertical="center" shrinkToFit="1"/>
    </xf>
    <xf numFmtId="193" fontId="48" fillId="0" borderId="3" xfId="0" applyNumberFormat="1" applyFont="1" applyBorder="1" applyAlignment="1">
      <alignment horizontal="center" vertical="center" shrinkToFit="1"/>
    </xf>
    <xf numFmtId="193" fontId="48" fillId="0" borderId="4" xfId="0" applyNumberFormat="1" applyFont="1" applyBorder="1" applyAlignment="1">
      <alignment horizontal="center" vertical="center" shrinkToFit="1"/>
    </xf>
    <xf numFmtId="0" fontId="61" fillId="3" borderId="1" xfId="0" applyFont="1" applyFill="1" applyBorder="1" applyAlignment="1">
      <alignment horizontal="center" vertical="center"/>
    </xf>
    <xf numFmtId="0" fontId="61" fillId="3" borderId="1" xfId="0" applyFont="1" applyFill="1" applyBorder="1" applyAlignment="1">
      <alignment horizontal="center" vertical="center" wrapText="1"/>
    </xf>
    <xf numFmtId="190" fontId="60" fillId="0" borderId="1" xfId="0" applyNumberFormat="1" applyFont="1" applyBorder="1" applyAlignment="1">
      <alignment horizontal="center" vertical="center"/>
    </xf>
    <xf numFmtId="3" fontId="48" fillId="0" borderId="2" xfId="0" applyNumberFormat="1" applyFont="1" applyBorder="1" applyAlignment="1">
      <alignment horizontal="right" vertical="center"/>
    </xf>
    <xf numFmtId="3" fontId="48" fillId="0" borderId="3" xfId="0" applyNumberFormat="1" applyFont="1" applyBorder="1" applyAlignment="1">
      <alignment horizontal="right" vertical="center"/>
    </xf>
    <xf numFmtId="3" fontId="48" fillId="0" borderId="11" xfId="0" applyNumberFormat="1" applyFont="1" applyBorder="1" applyAlignment="1">
      <alignment horizontal="right" vertical="center"/>
    </xf>
    <xf numFmtId="3" fontId="48" fillId="0" borderId="4" xfId="0" applyNumberFormat="1" applyFont="1" applyBorder="1" applyAlignment="1">
      <alignment horizontal="right" vertical="center"/>
    </xf>
    <xf numFmtId="0" fontId="48" fillId="0" borderId="10" xfId="0" applyFont="1" applyBorder="1" applyAlignment="1">
      <alignment horizontal="center" vertical="center"/>
    </xf>
    <xf numFmtId="0" fontId="48" fillId="0" borderId="12"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3" fontId="48" fillId="0" borderId="15" xfId="0" applyNumberFormat="1" applyFont="1" applyBorder="1" applyAlignment="1">
      <alignment horizontal="right" vertical="center"/>
    </xf>
    <xf numFmtId="3" fontId="48" fillId="0" borderId="13" xfId="0" applyNumberFormat="1" applyFont="1" applyBorder="1" applyAlignment="1">
      <alignment horizontal="right" vertical="center"/>
    </xf>
    <xf numFmtId="3" fontId="48" fillId="0" borderId="14" xfId="0" applyNumberFormat="1" applyFont="1" applyBorder="1" applyAlignment="1">
      <alignment horizontal="right" vertical="center"/>
    </xf>
    <xf numFmtId="3" fontId="48" fillId="0" borderId="16" xfId="0" applyNumberFormat="1" applyFont="1" applyBorder="1" applyAlignment="1">
      <alignment horizontal="right" vertical="center"/>
    </xf>
    <xf numFmtId="188" fontId="57" fillId="0" borderId="17" xfId="0" applyNumberFormat="1" applyFont="1" applyBorder="1" applyAlignment="1">
      <alignment horizontal="center" vertical="center" wrapText="1"/>
    </xf>
    <xf numFmtId="188" fontId="57" fillId="0" borderId="18" xfId="0" applyNumberFormat="1" applyFont="1" applyBorder="1" applyAlignment="1">
      <alignment horizontal="center" vertical="center" wrapText="1"/>
    </xf>
    <xf numFmtId="188" fontId="57" fillId="0" borderId="19" xfId="0" applyNumberFormat="1" applyFont="1" applyBorder="1" applyAlignment="1">
      <alignment horizontal="center" vertical="center" wrapText="1"/>
    </xf>
    <xf numFmtId="188" fontId="57" fillId="0" borderId="22" xfId="0" applyNumberFormat="1" applyFont="1" applyBorder="1" applyAlignment="1">
      <alignment horizontal="center" vertical="center" wrapText="1"/>
    </xf>
    <xf numFmtId="188" fontId="57" fillId="0" borderId="23" xfId="0" applyNumberFormat="1" applyFont="1" applyBorder="1" applyAlignment="1">
      <alignment horizontal="center" vertical="center" wrapText="1"/>
    </xf>
    <xf numFmtId="188" fontId="57" fillId="0" borderId="24" xfId="0" applyNumberFormat="1" applyFont="1" applyBorder="1" applyAlignment="1">
      <alignment horizontal="center" vertical="center" wrapText="1"/>
    </xf>
    <xf numFmtId="0" fontId="47" fillId="0" borderId="1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3" fontId="47" fillId="0" borderId="2" xfId="0" applyNumberFormat="1" applyFont="1" applyBorder="1" applyAlignment="1">
      <alignment horizontal="right" vertical="center"/>
    </xf>
    <xf numFmtId="3" fontId="47" fillId="0" borderId="3" xfId="0" applyNumberFormat="1" applyFont="1" applyBorder="1" applyAlignment="1">
      <alignment horizontal="right" vertical="center"/>
    </xf>
    <xf numFmtId="3" fontId="47" fillId="0" borderId="4" xfId="0" applyNumberFormat="1" applyFont="1" applyBorder="1" applyAlignment="1">
      <alignment horizontal="right" vertical="center"/>
    </xf>
    <xf numFmtId="3" fontId="47" fillId="0" borderId="11" xfId="0" applyNumberFormat="1" applyFont="1" applyBorder="1" applyAlignment="1">
      <alignment horizontal="right" vertical="center"/>
    </xf>
    <xf numFmtId="3" fontId="47" fillId="3" borderId="1" xfId="0" applyNumberFormat="1" applyFont="1" applyFill="1" applyBorder="1" applyAlignment="1">
      <alignment horizontal="center" vertical="center" wrapText="1"/>
    </xf>
    <xf numFmtId="0" fontId="47" fillId="3" borderId="9"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1" xfId="0" applyFont="1" applyFill="1" applyBorder="1" applyAlignment="1">
      <alignment horizontal="center" vertical="center" wrapText="1"/>
    </xf>
    <xf numFmtId="14" fontId="48" fillId="0" borderId="1" xfId="0" applyNumberFormat="1" applyFont="1" applyBorder="1" applyAlignment="1">
      <alignment horizontal="center" vertical="center"/>
    </xf>
    <xf numFmtId="0" fontId="48" fillId="3" borderId="1" xfId="0" applyFont="1" applyFill="1" applyBorder="1" applyAlignment="1">
      <alignment horizontal="center" vertical="center"/>
    </xf>
    <xf numFmtId="0" fontId="49" fillId="0" borderId="1" xfId="0" applyFont="1" applyBorder="1" applyAlignment="1">
      <alignment horizontal="left" vertical="center" wrapText="1" shrinkToFit="1"/>
    </xf>
    <xf numFmtId="0" fontId="47" fillId="3" borderId="20" xfId="0" applyFont="1" applyFill="1" applyBorder="1" applyAlignment="1">
      <alignment horizontal="center"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9" fillId="0" borderId="17" xfId="0" applyFont="1" applyBorder="1" applyAlignment="1">
      <alignment horizontal="left" vertical="top" wrapText="1"/>
    </xf>
    <xf numFmtId="0" fontId="49" fillId="0" borderId="18" xfId="0" applyFont="1" applyBorder="1" applyAlignment="1">
      <alignment horizontal="left" vertical="top" wrapText="1"/>
    </xf>
    <xf numFmtId="0" fontId="49" fillId="0" borderId="19" xfId="0" applyFont="1" applyBorder="1" applyAlignment="1">
      <alignment horizontal="left" vertical="top" wrapText="1"/>
    </xf>
    <xf numFmtId="0" fontId="49" fillId="0" borderId="20" xfId="0" applyFont="1" applyBorder="1" applyAlignment="1">
      <alignment horizontal="left" vertical="top" wrapText="1"/>
    </xf>
    <xf numFmtId="0" fontId="49" fillId="0" borderId="21" xfId="0" applyFont="1" applyBorder="1" applyAlignment="1">
      <alignment horizontal="left" vertical="top" wrapText="1"/>
    </xf>
    <xf numFmtId="0" fontId="49" fillId="0" borderId="22" xfId="0" applyFont="1" applyBorder="1" applyAlignment="1">
      <alignment horizontal="left" vertical="top" wrapText="1"/>
    </xf>
    <xf numFmtId="0" fontId="49" fillId="0" borderId="23" xfId="0" applyFont="1" applyBorder="1" applyAlignment="1">
      <alignment horizontal="left" vertical="top" wrapText="1"/>
    </xf>
    <xf numFmtId="0" fontId="49" fillId="0" borderId="24" xfId="0" applyFont="1" applyBorder="1" applyAlignment="1">
      <alignment horizontal="left" vertical="top" wrapText="1"/>
    </xf>
    <xf numFmtId="0" fontId="54" fillId="0" borderId="0" xfId="0" applyFont="1" applyAlignment="1">
      <alignment horizontal="left" vertical="top" wrapText="1" shrinkToFit="1"/>
    </xf>
    <xf numFmtId="0" fontId="54" fillId="0" borderId="23" xfId="0" applyFont="1" applyBorder="1" applyAlignment="1">
      <alignment horizontal="left" vertical="top" wrapText="1"/>
    </xf>
    <xf numFmtId="188" fontId="48" fillId="0" borderId="1" xfId="0" applyNumberFormat="1" applyFont="1" applyBorder="1" applyAlignment="1">
      <alignment horizontal="center" vertical="center"/>
    </xf>
    <xf numFmtId="187" fontId="48" fillId="0" borderId="2" xfId="0" applyNumberFormat="1" applyFont="1" applyBorder="1" applyAlignment="1">
      <alignment horizontal="right" vertical="center" shrinkToFit="1"/>
    </xf>
    <xf numFmtId="187" fontId="48" fillId="0" borderId="3" xfId="0" applyNumberFormat="1" applyFont="1" applyBorder="1" applyAlignment="1">
      <alignment horizontal="right" vertical="center" shrinkToFit="1"/>
    </xf>
    <xf numFmtId="187" fontId="48" fillId="0" borderId="4" xfId="0" applyNumberFormat="1" applyFont="1" applyBorder="1" applyAlignment="1">
      <alignment horizontal="right" vertical="center" shrinkToFit="1"/>
    </xf>
    <xf numFmtId="0" fontId="44" fillId="0" borderId="83"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85" xfId="0" applyFont="1" applyBorder="1" applyAlignment="1">
      <alignment horizontal="center" vertical="center" wrapText="1"/>
    </xf>
    <xf numFmtId="0" fontId="40" fillId="0" borderId="83" xfId="0" applyFont="1" applyBorder="1" applyAlignment="1">
      <alignment horizontal="justify" vertical="center" wrapText="1"/>
    </xf>
    <xf numFmtId="0" fontId="40" fillId="0" borderId="85" xfId="0" applyFont="1" applyBorder="1" applyAlignment="1">
      <alignment horizontal="justify" vertical="center" wrapText="1"/>
    </xf>
    <xf numFmtId="0" fontId="42" fillId="0" borderId="0" xfId="0" applyFont="1" applyAlignment="1">
      <alignment horizontal="center" vertical="center"/>
    </xf>
    <xf numFmtId="0" fontId="3" fillId="14" borderId="1" xfId="0" applyFont="1" applyFill="1" applyBorder="1" applyAlignment="1">
      <alignment horizontal="center" vertical="center"/>
    </xf>
  </cellXfs>
  <cellStyles count="4">
    <cellStyle name="쉼표 [0]" xfId="1" builtinId="6"/>
    <cellStyle name="쉼표 [0] 2" xfId="3"/>
    <cellStyle name="표준" xfId="0" builtinId="0"/>
    <cellStyle name="하이퍼링크" xfId="2" builtinId="8"/>
  </cellStyles>
  <dxfs count="35">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7" tint="0.79998168889431442"/>
        </patternFill>
      </fill>
    </dxf>
    <dxf>
      <font>
        <color theme="0"/>
      </font>
      <border>
        <left/>
        <vertical/>
        <horizontal/>
      </border>
    </dxf>
    <dxf>
      <border>
        <left/>
        <right/>
        <vertical/>
        <horizontal/>
      </border>
    </dxf>
    <dxf>
      <font>
        <color theme="0"/>
      </font>
      <border>
        <top/>
        <vertical/>
        <horizontal/>
      </border>
    </dxf>
    <dxf>
      <font>
        <color theme="0"/>
      </font>
      <border>
        <right/>
        <vertical/>
        <horizontal/>
      </border>
    </dxf>
    <dxf>
      <font>
        <b/>
        <i val="0"/>
      </font>
    </dxf>
    <dxf>
      <font>
        <b/>
        <i val="0"/>
      </font>
    </dxf>
    <dxf>
      <fill>
        <patternFill>
          <bgColor theme="0"/>
        </patternFill>
      </fill>
      <border>
        <left/>
        <right/>
        <top/>
        <bottom/>
        <vertical/>
        <horizontal/>
      </border>
    </dxf>
    <dxf>
      <font>
        <color theme="0"/>
      </font>
      <border>
        <right/>
        <vertical/>
        <horizontal/>
      </border>
    </dxf>
    <dxf>
      <font>
        <color theme="0"/>
      </font>
      <border>
        <top/>
        <vertical/>
        <horizontal/>
      </border>
    </dxf>
    <dxf>
      <border>
        <top/>
        <vertical/>
        <horizontal/>
      </border>
    </dxf>
    <dxf>
      <font>
        <color theme="0"/>
      </font>
      <border>
        <top/>
      </border>
    </dxf>
    <dxf>
      <font>
        <color theme="1" tint="0.499984740745262"/>
      </font>
      <fill>
        <patternFill>
          <bgColor theme="1" tint="0.499984740745262"/>
        </patternFill>
      </fill>
    </dxf>
    <dxf>
      <font>
        <color rgb="FFFF0000"/>
      </font>
    </dxf>
    <dxf>
      <font>
        <color rgb="FF0000FF"/>
      </font>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font>
      <fill>
        <patternFill>
          <bgColor theme="5"/>
        </patternFill>
      </fill>
    </dxf>
    <dxf>
      <font>
        <color rgb="FFFF0000"/>
      </font>
    </dxf>
    <dxf>
      <font>
        <color rgb="FFFF0000"/>
      </font>
    </dxf>
  </dxfs>
  <tableStyles count="0" defaultTableStyle="TableStyleMedium2" defaultPivotStyle="PivotStyleLight16"/>
  <colors>
    <mruColors>
      <color rgb="FFCCFF66"/>
      <color rgb="FF0000FF"/>
      <color rgb="FF6ACE46"/>
      <color rgb="FFFA8EC7"/>
      <color rgb="FF41D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264584</xdr:colOff>
      <xdr:row>53</xdr:row>
      <xdr:rowOff>201082</xdr:rowOff>
    </xdr:from>
    <xdr:to>
      <xdr:col>24</xdr:col>
      <xdr:colOff>264584</xdr:colOff>
      <xdr:row>55</xdr:row>
      <xdr:rowOff>18163</xdr:rowOff>
    </xdr:to>
    <xdr:pic>
      <xdr:nvPicPr>
        <xdr:cNvPr id="2" name="_x483220296" descr="EMB00002d18112e">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11472332"/>
          <a:ext cx="6604000" cy="12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264584</xdr:colOff>
      <xdr:row>60</xdr:row>
      <xdr:rowOff>211665</xdr:rowOff>
    </xdr:from>
    <xdr:to>
      <xdr:col>24</xdr:col>
      <xdr:colOff>264584</xdr:colOff>
      <xdr:row>62</xdr:row>
      <xdr:rowOff>28746</xdr:rowOff>
    </xdr:to>
    <xdr:pic>
      <xdr:nvPicPr>
        <xdr:cNvPr id="3" name="_x483220296" descr="EMB00002d18112e">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4" y="12848165"/>
          <a:ext cx="6604000" cy="123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E529"/>
  <sheetViews>
    <sheetView tabSelected="1" view="pageBreakPreview" zoomScaleNormal="70" zoomScaleSheetLayoutView="100" workbookViewId="0">
      <pane xSplit="7" ySplit="3" topLeftCell="H145" activePane="bottomRight" state="frozen"/>
      <selection pane="topRight" activeCell="H1" sqref="H1"/>
      <selection pane="bottomLeft" activeCell="A4" sqref="A4"/>
      <selection pane="bottomRight" activeCell="Y158" sqref="Y158"/>
    </sheetView>
  </sheetViews>
  <sheetFormatPr defaultColWidth="9" defaultRowHeight="16.5"/>
  <cols>
    <col min="1" max="1" width="4.125" customWidth="1"/>
    <col min="2" max="39" width="4.625" customWidth="1"/>
    <col min="40" max="44" width="4.125" customWidth="1"/>
    <col min="45" max="45" width="4.125" style="1" customWidth="1"/>
    <col min="58" max="58" width="9.625" bestFit="1" customWidth="1"/>
    <col min="67" max="67" width="17.625" customWidth="1"/>
    <col min="68" max="68" width="17" customWidth="1"/>
    <col min="69" max="69" width="13.5" customWidth="1"/>
    <col min="75" max="75" width="12.5" customWidth="1"/>
    <col min="107" max="107" width="9.375" bestFit="1" customWidth="1"/>
  </cols>
  <sheetData>
    <row r="1" spans="2:49" ht="17.100000000000001" customHeight="1">
      <c r="H1" s="12">
        <v>1</v>
      </c>
      <c r="I1" s="12">
        <v>2</v>
      </c>
      <c r="J1" s="12">
        <v>3</v>
      </c>
      <c r="K1" s="12">
        <v>4</v>
      </c>
      <c r="L1" s="12">
        <v>5</v>
      </c>
      <c r="M1" s="12">
        <v>6</v>
      </c>
      <c r="N1" s="12">
        <v>7</v>
      </c>
      <c r="O1" s="12">
        <v>8</v>
      </c>
      <c r="P1" s="12">
        <v>9</v>
      </c>
      <c r="Q1" s="12">
        <v>10</v>
      </c>
      <c r="R1" s="12">
        <v>11</v>
      </c>
      <c r="S1" s="12">
        <v>12</v>
      </c>
      <c r="T1" s="12">
        <v>13</v>
      </c>
      <c r="U1" s="12">
        <v>14</v>
      </c>
      <c r="V1" s="12">
        <v>15</v>
      </c>
      <c r="W1" s="12">
        <v>16</v>
      </c>
      <c r="X1" s="12">
        <v>17</v>
      </c>
      <c r="Y1" s="12">
        <v>18</v>
      </c>
      <c r="Z1" s="12">
        <v>19</v>
      </c>
      <c r="AA1" s="12">
        <v>20</v>
      </c>
      <c r="AB1" s="12">
        <v>21</v>
      </c>
      <c r="AC1" s="12">
        <v>22</v>
      </c>
      <c r="AD1" s="12">
        <v>23</v>
      </c>
      <c r="AE1" s="12">
        <v>24</v>
      </c>
      <c r="AF1" s="12">
        <v>25</v>
      </c>
      <c r="AG1" s="12">
        <v>26</v>
      </c>
      <c r="AH1" s="12">
        <v>27</v>
      </c>
      <c r="AI1" s="12">
        <v>28</v>
      </c>
      <c r="AJ1" s="12">
        <v>29</v>
      </c>
      <c r="AK1" s="12">
        <v>30</v>
      </c>
      <c r="AL1" s="12">
        <v>31</v>
      </c>
      <c r="AM1" s="12">
        <v>32</v>
      </c>
      <c r="AN1" s="12"/>
    </row>
    <row r="2" spans="2:49" ht="17.100000000000001" customHeight="1">
      <c r="B2" s="52" t="s">
        <v>70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O2" s="58"/>
      <c r="AP2" s="58"/>
      <c r="AQ2" s="58"/>
      <c r="AR2" s="58"/>
      <c r="AS2" s="58"/>
      <c r="AT2" s="58"/>
      <c r="AU2" s="58"/>
      <c r="AV2" s="58"/>
      <c r="AW2" s="58"/>
    </row>
    <row r="3" spans="2:49" ht="17.100000000000001" customHeight="1">
      <c r="B3" s="7"/>
      <c r="C3" s="53" t="s">
        <v>67</v>
      </c>
      <c r="D3" s="7"/>
      <c r="E3" s="7"/>
      <c r="F3" s="7"/>
      <c r="G3" s="7"/>
      <c r="H3" s="530" t="s">
        <v>614</v>
      </c>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7"/>
      <c r="AM3" s="7"/>
      <c r="AO3" s="58"/>
      <c r="AP3" s="58"/>
      <c r="AQ3" s="58"/>
      <c r="AR3" s="58"/>
      <c r="AS3" s="58"/>
      <c r="AT3" s="58"/>
      <c r="AU3" s="58"/>
      <c r="AV3" s="58"/>
      <c r="AW3" s="58"/>
    </row>
    <row r="4" spans="2:49" ht="17.100000000000001" customHeight="1" thickBot="1">
      <c r="B4" s="7"/>
      <c r="C4" s="54" t="s">
        <v>71</v>
      </c>
      <c r="D4" s="7"/>
      <c r="E4" s="7"/>
      <c r="F4" s="7"/>
      <c r="G4" s="7"/>
      <c r="H4" s="7"/>
      <c r="I4" s="7"/>
      <c r="J4" s="7"/>
      <c r="K4" s="7"/>
      <c r="L4" s="7"/>
      <c r="M4" s="7"/>
      <c r="N4" s="7"/>
      <c r="O4" s="7"/>
      <c r="P4" s="7"/>
      <c r="Q4" s="7"/>
      <c r="R4" s="7"/>
      <c r="S4" s="7"/>
      <c r="T4" s="7"/>
      <c r="U4" s="7"/>
      <c r="V4" s="7"/>
      <c r="W4" s="7"/>
      <c r="X4" s="7"/>
      <c r="Y4" s="7" t="s">
        <v>613</v>
      </c>
      <c r="Z4" s="7"/>
      <c r="AA4" s="7"/>
      <c r="AB4" s="7"/>
      <c r="AC4" s="7"/>
      <c r="AD4" s="7"/>
      <c r="AE4" s="7"/>
      <c r="AF4" s="7"/>
      <c r="AG4" s="7"/>
      <c r="AH4" s="7"/>
      <c r="AI4" s="7"/>
      <c r="AJ4" s="7"/>
      <c r="AK4" s="7"/>
      <c r="AL4" s="7"/>
      <c r="AM4" s="7"/>
      <c r="AO4" s="58"/>
      <c r="AP4" s="58"/>
      <c r="AQ4" s="58"/>
      <c r="AR4" s="58"/>
      <c r="AS4" s="58"/>
      <c r="AT4" s="58"/>
      <c r="AU4" s="58"/>
      <c r="AV4" s="58"/>
      <c r="AW4" s="58"/>
    </row>
    <row r="5" spans="2:49" ht="17.100000000000001" customHeight="1">
      <c r="B5" s="7"/>
      <c r="C5" s="7"/>
      <c r="D5" s="4" t="s">
        <v>89</v>
      </c>
      <c r="E5" s="5"/>
      <c r="F5" s="5"/>
      <c r="G5" s="5"/>
      <c r="H5" s="503" t="s">
        <v>190</v>
      </c>
      <c r="I5" s="504"/>
      <c r="J5" s="200" t="s">
        <v>713</v>
      </c>
      <c r="K5" s="201"/>
      <c r="L5" s="201"/>
      <c r="M5" s="202"/>
      <c r="N5" s="503" t="s">
        <v>191</v>
      </c>
      <c r="O5" s="504"/>
      <c r="P5" s="435" t="s">
        <v>718</v>
      </c>
      <c r="Q5" s="435"/>
      <c r="R5" s="435"/>
      <c r="S5" s="435"/>
      <c r="T5" s="503" t="s">
        <v>192</v>
      </c>
      <c r="U5" s="504"/>
      <c r="V5" s="518"/>
      <c r="W5" s="435"/>
      <c r="X5" s="435"/>
      <c r="Y5" s="435"/>
      <c r="Z5" s="503" t="s">
        <v>193</v>
      </c>
      <c r="AA5" s="504"/>
      <c r="AB5" s="518"/>
      <c r="AC5" s="435"/>
      <c r="AD5" s="435"/>
      <c r="AE5" s="435"/>
      <c r="AF5" s="503" t="s">
        <v>194</v>
      </c>
      <c r="AG5" s="504"/>
      <c r="AH5" s="518"/>
      <c r="AI5" s="435"/>
      <c r="AJ5" s="435"/>
      <c r="AK5" s="514"/>
      <c r="AL5" s="7"/>
      <c r="AM5" s="7"/>
      <c r="AO5" s="367" t="s">
        <v>575</v>
      </c>
      <c r="AP5" s="368"/>
      <c r="AQ5" s="368"/>
      <c r="AR5" s="368"/>
      <c r="AS5" s="368"/>
      <c r="AT5" s="368"/>
      <c r="AU5" s="368"/>
      <c r="AV5" s="368"/>
      <c r="AW5" s="369"/>
    </row>
    <row r="6" spans="2:49" ht="17.100000000000001" customHeight="1" thickBot="1">
      <c r="B6" s="7"/>
      <c r="C6" s="7"/>
      <c r="D6" s="6"/>
      <c r="E6" s="7"/>
      <c r="F6" s="7"/>
      <c r="G6" s="7"/>
      <c r="H6" s="539" t="s">
        <v>195</v>
      </c>
      <c r="I6" s="540"/>
      <c r="J6" s="541"/>
      <c r="K6" s="542"/>
      <c r="L6" s="542"/>
      <c r="M6" s="543"/>
      <c r="N6" s="539" t="s">
        <v>196</v>
      </c>
      <c r="O6" s="540"/>
      <c r="P6" s="509"/>
      <c r="Q6" s="510"/>
      <c r="R6" s="510"/>
      <c r="S6" s="510"/>
      <c r="T6" s="539" t="s">
        <v>197</v>
      </c>
      <c r="U6" s="540"/>
      <c r="V6" s="510"/>
      <c r="W6" s="510"/>
      <c r="X6" s="510"/>
      <c r="Y6" s="510"/>
      <c r="Z6" s="539" t="s">
        <v>198</v>
      </c>
      <c r="AA6" s="540"/>
      <c r="AB6" s="510"/>
      <c r="AC6" s="510"/>
      <c r="AD6" s="510"/>
      <c r="AE6" s="510"/>
      <c r="AF6" s="539" t="s">
        <v>199</v>
      </c>
      <c r="AG6" s="540"/>
      <c r="AH6" s="510"/>
      <c r="AI6" s="510"/>
      <c r="AJ6" s="510"/>
      <c r="AK6" s="569"/>
      <c r="AL6" s="7"/>
      <c r="AM6" s="7"/>
      <c r="AO6" s="370"/>
      <c r="AP6" s="371"/>
      <c r="AQ6" s="371"/>
      <c r="AR6" s="371"/>
      <c r="AS6" s="371"/>
      <c r="AT6" s="371"/>
      <c r="AU6" s="371"/>
      <c r="AV6" s="371"/>
      <c r="AW6" s="372"/>
    </row>
    <row r="7" spans="2:49" ht="17.100000000000001" customHeight="1" thickBot="1">
      <c r="B7" s="7"/>
      <c r="C7" s="7"/>
      <c r="D7" s="8" t="s">
        <v>77</v>
      </c>
      <c r="E7" s="5"/>
      <c r="F7" s="5"/>
      <c r="G7" s="5"/>
      <c r="H7" s="503" t="s">
        <v>190</v>
      </c>
      <c r="I7" s="504"/>
      <c r="J7" s="507" t="s">
        <v>686</v>
      </c>
      <c r="K7" s="294"/>
      <c r="L7" s="294"/>
      <c r="M7" s="508"/>
      <c r="N7" s="503" t="s">
        <v>191</v>
      </c>
      <c r="O7" s="504"/>
      <c r="P7" s="435"/>
      <c r="Q7" s="435"/>
      <c r="R7" s="435"/>
      <c r="S7" s="435"/>
      <c r="T7" s="503" t="s">
        <v>192</v>
      </c>
      <c r="U7" s="504"/>
      <c r="V7" s="435"/>
      <c r="W7" s="435"/>
      <c r="X7" s="435"/>
      <c r="Y7" s="435"/>
      <c r="Z7" s="503" t="s">
        <v>193</v>
      </c>
      <c r="AA7" s="504"/>
      <c r="AB7" s="435"/>
      <c r="AC7" s="435"/>
      <c r="AD7" s="435"/>
      <c r="AE7" s="435"/>
      <c r="AF7" s="503" t="s">
        <v>194</v>
      </c>
      <c r="AG7" s="504"/>
      <c r="AH7" s="435"/>
      <c r="AI7" s="435"/>
      <c r="AJ7" s="435"/>
      <c r="AK7" s="514"/>
      <c r="AL7" s="7"/>
      <c r="AM7" s="7"/>
      <c r="AO7" s="370"/>
      <c r="AP7" s="371"/>
      <c r="AQ7" s="371"/>
      <c r="AR7" s="371"/>
      <c r="AS7" s="371"/>
      <c r="AT7" s="371"/>
      <c r="AU7" s="371"/>
      <c r="AV7" s="371"/>
      <c r="AW7" s="372"/>
    </row>
    <row r="8" spans="2:49" ht="17.100000000000001" customHeight="1" thickBot="1">
      <c r="B8" s="7"/>
      <c r="C8" s="7"/>
      <c r="D8" s="9" t="s">
        <v>78</v>
      </c>
      <c r="E8" s="10"/>
      <c r="F8" s="10"/>
      <c r="G8" s="10"/>
      <c r="H8" s="505" t="s">
        <v>190</v>
      </c>
      <c r="I8" s="506"/>
      <c r="J8" s="507" t="s">
        <v>690</v>
      </c>
      <c r="K8" s="294"/>
      <c r="L8" s="294"/>
      <c r="M8" s="508"/>
      <c r="N8" s="505" t="s">
        <v>191</v>
      </c>
      <c r="O8" s="506"/>
      <c r="P8" s="435"/>
      <c r="Q8" s="435"/>
      <c r="R8" s="435"/>
      <c r="S8" s="435"/>
      <c r="T8" s="505" t="s">
        <v>192</v>
      </c>
      <c r="U8" s="506"/>
      <c r="V8" s="294"/>
      <c r="W8" s="294"/>
      <c r="X8" s="294"/>
      <c r="Y8" s="294"/>
      <c r="Z8" s="505" t="s">
        <v>193</v>
      </c>
      <c r="AA8" s="506"/>
      <c r="AB8" s="294"/>
      <c r="AC8" s="294"/>
      <c r="AD8" s="294"/>
      <c r="AE8" s="294"/>
      <c r="AF8" s="505" t="s">
        <v>194</v>
      </c>
      <c r="AG8" s="506"/>
      <c r="AH8" s="294"/>
      <c r="AI8" s="294"/>
      <c r="AJ8" s="294"/>
      <c r="AK8" s="295"/>
      <c r="AL8" s="7"/>
      <c r="AM8" s="7"/>
      <c r="AO8" s="370"/>
      <c r="AP8" s="371"/>
      <c r="AQ8" s="371"/>
      <c r="AR8" s="371"/>
      <c r="AS8" s="371"/>
      <c r="AT8" s="371"/>
      <c r="AU8" s="371"/>
      <c r="AV8" s="371"/>
      <c r="AW8" s="372"/>
    </row>
    <row r="9" spans="2:49" ht="17.100000000000001" customHeight="1" thickBot="1">
      <c r="B9" s="7"/>
      <c r="C9" s="7"/>
      <c r="D9" s="9" t="s">
        <v>79</v>
      </c>
      <c r="E9" s="10"/>
      <c r="F9" s="10"/>
      <c r="G9" s="10"/>
      <c r="H9" s="505" t="s">
        <v>190</v>
      </c>
      <c r="I9" s="506"/>
      <c r="J9" s="507"/>
      <c r="K9" s="294"/>
      <c r="L9" s="294"/>
      <c r="M9" s="508"/>
      <c r="N9" s="505" t="s">
        <v>191</v>
      </c>
      <c r="O9" s="506"/>
      <c r="P9" s="294"/>
      <c r="Q9" s="294"/>
      <c r="R9" s="294"/>
      <c r="S9" s="294"/>
      <c r="T9" s="505" t="s">
        <v>192</v>
      </c>
      <c r="U9" s="506"/>
      <c r="V9" s="519"/>
      <c r="W9" s="294"/>
      <c r="X9" s="294"/>
      <c r="Y9" s="294"/>
      <c r="Z9" s="505" t="s">
        <v>193</v>
      </c>
      <c r="AA9" s="506"/>
      <c r="AB9" s="519"/>
      <c r="AC9" s="294"/>
      <c r="AD9" s="294"/>
      <c r="AE9" s="294"/>
      <c r="AF9" s="505" t="s">
        <v>194</v>
      </c>
      <c r="AG9" s="506"/>
      <c r="AH9" s="519"/>
      <c r="AI9" s="294"/>
      <c r="AJ9" s="294"/>
      <c r="AK9" s="295"/>
      <c r="AL9" s="7"/>
      <c r="AM9" s="7"/>
      <c r="AO9" s="370"/>
      <c r="AP9" s="371"/>
      <c r="AQ9" s="371"/>
      <c r="AR9" s="371"/>
      <c r="AS9" s="371"/>
      <c r="AT9" s="371"/>
      <c r="AU9" s="371"/>
      <c r="AV9" s="371"/>
      <c r="AW9" s="372"/>
    </row>
    <row r="10" spans="2:49" ht="17.100000000000001" customHeight="1" thickBot="1">
      <c r="B10" s="7"/>
      <c r="C10" s="7"/>
      <c r="D10" s="178" t="s">
        <v>80</v>
      </c>
      <c r="E10" s="179"/>
      <c r="F10" s="179"/>
      <c r="G10" s="179"/>
      <c r="H10" s="501" t="s">
        <v>190</v>
      </c>
      <c r="I10" s="502"/>
      <c r="J10" s="515" t="s">
        <v>687</v>
      </c>
      <c r="K10" s="516"/>
      <c r="L10" s="516"/>
      <c r="M10" s="517"/>
      <c r="N10" s="501" t="s">
        <v>191</v>
      </c>
      <c r="O10" s="502"/>
      <c r="P10" s="544"/>
      <c r="Q10" s="537"/>
      <c r="R10" s="537"/>
      <c r="S10" s="537"/>
      <c r="T10" s="501" t="s">
        <v>192</v>
      </c>
      <c r="U10" s="502"/>
      <c r="V10" s="537"/>
      <c r="W10" s="537"/>
      <c r="X10" s="537"/>
      <c r="Y10" s="537"/>
      <c r="Z10" s="501" t="s">
        <v>193</v>
      </c>
      <c r="AA10" s="502"/>
      <c r="AB10" s="537"/>
      <c r="AC10" s="537"/>
      <c r="AD10" s="537"/>
      <c r="AE10" s="537"/>
      <c r="AF10" s="501" t="s">
        <v>194</v>
      </c>
      <c r="AG10" s="502"/>
      <c r="AH10" s="537"/>
      <c r="AI10" s="537"/>
      <c r="AJ10" s="537"/>
      <c r="AK10" s="538"/>
      <c r="AL10" s="7"/>
      <c r="AM10" s="7"/>
      <c r="AO10" s="370"/>
      <c r="AP10" s="371"/>
      <c r="AQ10" s="371"/>
      <c r="AR10" s="371"/>
      <c r="AS10" s="371"/>
      <c r="AT10" s="371"/>
      <c r="AU10" s="371"/>
      <c r="AV10" s="371"/>
      <c r="AW10" s="372"/>
    </row>
    <row r="11" spans="2:49" ht="17.100000000000001" customHeight="1" thickBot="1">
      <c r="B11" s="7"/>
      <c r="C11" s="7"/>
      <c r="D11" s="11" t="s">
        <v>81</v>
      </c>
      <c r="E11" s="5"/>
      <c r="F11" s="5"/>
      <c r="G11" s="5"/>
      <c r="H11" s="503" t="s">
        <v>190</v>
      </c>
      <c r="I11" s="504"/>
      <c r="J11" s="507" t="s">
        <v>688</v>
      </c>
      <c r="K11" s="294"/>
      <c r="L11" s="294"/>
      <c r="M11" s="508"/>
      <c r="N11" s="503" t="s">
        <v>191</v>
      </c>
      <c r="O11" s="504"/>
      <c r="P11" s="435"/>
      <c r="Q11" s="435"/>
      <c r="R11" s="435"/>
      <c r="S11" s="435"/>
      <c r="T11" s="503" t="s">
        <v>192</v>
      </c>
      <c r="U11" s="504"/>
      <c r="V11" s="435"/>
      <c r="W11" s="435"/>
      <c r="X11" s="435"/>
      <c r="Y11" s="435"/>
      <c r="Z11" s="503" t="s">
        <v>193</v>
      </c>
      <c r="AA11" s="504"/>
      <c r="AB11" s="435"/>
      <c r="AC11" s="435"/>
      <c r="AD11" s="435"/>
      <c r="AE11" s="435"/>
      <c r="AF11" s="503" t="s">
        <v>194</v>
      </c>
      <c r="AG11" s="504"/>
      <c r="AH11" s="435"/>
      <c r="AI11" s="435"/>
      <c r="AJ11" s="435"/>
      <c r="AK11" s="514"/>
      <c r="AL11" s="7"/>
      <c r="AM11" s="7"/>
      <c r="AO11" s="370"/>
      <c r="AP11" s="371"/>
      <c r="AQ11" s="371"/>
      <c r="AR11" s="371"/>
      <c r="AS11" s="371"/>
      <c r="AT11" s="371"/>
      <c r="AU11" s="371"/>
      <c r="AV11" s="371"/>
      <c r="AW11" s="372"/>
    </row>
    <row r="12" spans="2:49" ht="17.100000000000001" customHeight="1" thickBot="1">
      <c r="B12" s="7"/>
      <c r="C12" s="7"/>
      <c r="D12" s="9" t="s">
        <v>200</v>
      </c>
      <c r="E12" s="10"/>
      <c r="F12" s="10"/>
      <c r="G12" s="10"/>
      <c r="H12" s="503" t="s">
        <v>190</v>
      </c>
      <c r="I12" s="504"/>
      <c r="J12" s="507"/>
      <c r="K12" s="294"/>
      <c r="L12" s="294"/>
      <c r="M12" s="508"/>
      <c r="N12" s="503" t="s">
        <v>191</v>
      </c>
      <c r="O12" s="504"/>
      <c r="P12" s="435"/>
      <c r="Q12" s="435"/>
      <c r="R12" s="435"/>
      <c r="S12" s="435"/>
      <c r="T12" s="503" t="s">
        <v>192</v>
      </c>
      <c r="U12" s="504"/>
      <c r="V12" s="294"/>
      <c r="W12" s="294"/>
      <c r="X12" s="294"/>
      <c r="Y12" s="294"/>
      <c r="Z12" s="503" t="s">
        <v>193</v>
      </c>
      <c r="AA12" s="504"/>
      <c r="AB12" s="294"/>
      <c r="AC12" s="294"/>
      <c r="AD12" s="294"/>
      <c r="AE12" s="294"/>
      <c r="AF12" s="503" t="s">
        <v>194</v>
      </c>
      <c r="AG12" s="504"/>
      <c r="AH12" s="294"/>
      <c r="AI12" s="294"/>
      <c r="AJ12" s="294"/>
      <c r="AK12" s="295"/>
      <c r="AL12" s="7"/>
      <c r="AM12" s="7"/>
      <c r="AO12" s="370"/>
      <c r="AP12" s="371"/>
      <c r="AQ12" s="371"/>
      <c r="AR12" s="371"/>
      <c r="AS12" s="371"/>
      <c r="AT12" s="371"/>
      <c r="AU12" s="371"/>
      <c r="AV12" s="371"/>
      <c r="AW12" s="372"/>
    </row>
    <row r="13" spans="2:49" ht="17.100000000000001" customHeight="1" thickBot="1">
      <c r="B13" s="7"/>
      <c r="C13" s="7"/>
      <c r="D13" s="9" t="s">
        <v>82</v>
      </c>
      <c r="E13" s="10"/>
      <c r="F13" s="10"/>
      <c r="G13" s="10"/>
      <c r="H13" s="505" t="s">
        <v>190</v>
      </c>
      <c r="I13" s="506"/>
      <c r="J13" s="507"/>
      <c r="K13" s="294"/>
      <c r="L13" s="294"/>
      <c r="M13" s="508"/>
      <c r="N13" s="505" t="s">
        <v>191</v>
      </c>
      <c r="O13" s="506"/>
      <c r="P13" s="507"/>
      <c r="Q13" s="294"/>
      <c r="R13" s="294"/>
      <c r="S13" s="508"/>
      <c r="T13" s="505" t="s">
        <v>192</v>
      </c>
      <c r="U13" s="506"/>
      <c r="V13" s="507"/>
      <c r="W13" s="294"/>
      <c r="X13" s="294"/>
      <c r="Y13" s="508"/>
      <c r="Z13" s="505" t="s">
        <v>193</v>
      </c>
      <c r="AA13" s="506"/>
      <c r="AB13" s="507"/>
      <c r="AC13" s="294"/>
      <c r="AD13" s="294"/>
      <c r="AE13" s="508"/>
      <c r="AF13" s="505" t="s">
        <v>194</v>
      </c>
      <c r="AG13" s="506"/>
      <c r="AH13" s="507"/>
      <c r="AI13" s="294"/>
      <c r="AJ13" s="294"/>
      <c r="AK13" s="295"/>
      <c r="AL13" s="7"/>
      <c r="AM13" s="7"/>
      <c r="AO13" s="370"/>
      <c r="AP13" s="371"/>
      <c r="AQ13" s="371"/>
      <c r="AR13" s="371"/>
      <c r="AS13" s="371"/>
      <c r="AT13" s="371"/>
      <c r="AU13" s="371"/>
      <c r="AV13" s="371"/>
      <c r="AW13" s="372"/>
    </row>
    <row r="14" spans="2:49" ht="17.100000000000001" customHeight="1" thickBot="1">
      <c r="B14" s="7"/>
      <c r="C14" s="54" t="s">
        <v>68</v>
      </c>
      <c r="D14" s="7"/>
      <c r="E14" s="7"/>
      <c r="F14" s="7"/>
      <c r="G14" s="7"/>
      <c r="H14" s="548" t="s">
        <v>679</v>
      </c>
      <c r="I14" s="549"/>
      <c r="J14" s="549"/>
      <c r="K14" s="549"/>
      <c r="L14" s="549"/>
      <c r="M14" s="549"/>
      <c r="N14" s="549"/>
      <c r="O14" s="549"/>
      <c r="P14" s="549"/>
      <c r="Q14" s="549"/>
      <c r="R14" s="549"/>
      <c r="S14" s="549"/>
      <c r="T14" s="550"/>
      <c r="U14" s="166"/>
      <c r="V14" s="166"/>
      <c r="W14" s="21"/>
      <c r="X14" s="21"/>
      <c r="Y14" s="21"/>
      <c r="Z14" s="21"/>
      <c r="AA14" s="21"/>
      <c r="AB14" s="21"/>
      <c r="AC14" s="21"/>
      <c r="AD14" s="21"/>
      <c r="AE14" s="21"/>
      <c r="AF14" s="21"/>
      <c r="AG14" s="21"/>
      <c r="AH14" s="21"/>
      <c r="AI14" s="21"/>
      <c r="AJ14" s="21"/>
      <c r="AK14" s="21"/>
      <c r="AL14" s="21"/>
      <c r="AM14" s="21"/>
      <c r="AN14" s="1"/>
      <c r="AO14" s="370"/>
      <c r="AP14" s="371"/>
      <c r="AQ14" s="371"/>
      <c r="AR14" s="371"/>
      <c r="AS14" s="371"/>
      <c r="AT14" s="371"/>
      <c r="AU14" s="371"/>
      <c r="AV14" s="371"/>
      <c r="AW14" s="372"/>
    </row>
    <row r="15" spans="2:49" ht="17.100000000000001" customHeight="1" thickBot="1">
      <c r="B15" s="7"/>
      <c r="C15" s="54" t="s">
        <v>69</v>
      </c>
      <c r="D15" s="7"/>
      <c r="E15" s="7"/>
      <c r="F15" s="7"/>
      <c r="G15" s="7"/>
      <c r="H15" s="554" t="s">
        <v>691</v>
      </c>
      <c r="I15" s="555"/>
      <c r="J15" s="555"/>
      <c r="K15" s="555"/>
      <c r="L15" s="555"/>
      <c r="M15" s="555"/>
      <c r="N15" s="555"/>
      <c r="O15" s="555"/>
      <c r="P15" s="555"/>
      <c r="Q15" s="555"/>
      <c r="R15" s="555"/>
      <c r="S15" s="555"/>
      <c r="T15" s="555"/>
      <c r="U15" s="555"/>
      <c r="V15" s="556"/>
      <c r="W15" s="129" t="s">
        <v>612</v>
      </c>
      <c r="X15" s="21"/>
      <c r="Y15" s="21"/>
      <c r="Z15" s="21"/>
      <c r="AA15" s="21"/>
      <c r="AB15" s="21"/>
      <c r="AC15" s="21"/>
      <c r="AD15" s="21"/>
      <c r="AE15" s="21"/>
      <c r="AF15" s="7"/>
      <c r="AG15" s="21"/>
      <c r="AH15" s="21"/>
      <c r="AI15" s="21"/>
      <c r="AJ15" s="21"/>
      <c r="AK15" s="21"/>
      <c r="AL15" s="21"/>
      <c r="AM15" s="21"/>
      <c r="AN15" s="1"/>
      <c r="AO15" s="370"/>
      <c r="AP15" s="371"/>
      <c r="AQ15" s="371"/>
      <c r="AR15" s="371"/>
      <c r="AS15" s="371"/>
      <c r="AT15" s="371"/>
      <c r="AU15" s="371"/>
      <c r="AV15" s="371"/>
      <c r="AW15" s="372"/>
    </row>
    <row r="16" spans="2:49" ht="17.100000000000001" customHeight="1" thickBot="1">
      <c r="B16" s="7"/>
      <c r="C16" s="54" t="s">
        <v>72</v>
      </c>
      <c r="D16" s="7"/>
      <c r="E16" s="7"/>
      <c r="F16" s="7"/>
      <c r="G16" s="7"/>
      <c r="H16" s="582"/>
      <c r="I16" s="583"/>
      <c r="J16" s="22" t="s">
        <v>117</v>
      </c>
      <c r="K16" s="168"/>
      <c r="L16" s="22" t="s">
        <v>118</v>
      </c>
      <c r="M16" s="168"/>
      <c r="N16" s="21" t="s">
        <v>119</v>
      </c>
      <c r="O16" s="21" t="s">
        <v>116</v>
      </c>
      <c r="P16" s="582"/>
      <c r="Q16" s="583"/>
      <c r="R16" s="22" t="s">
        <v>117</v>
      </c>
      <c r="S16" s="168"/>
      <c r="T16" s="22" t="s">
        <v>118</v>
      </c>
      <c r="U16" s="168"/>
      <c r="V16" s="21" t="s">
        <v>119</v>
      </c>
      <c r="W16" s="7"/>
      <c r="X16" s="7"/>
      <c r="Y16" s="7"/>
      <c r="Z16" s="7"/>
      <c r="AA16" s="7"/>
      <c r="AB16" s="590" t="s">
        <v>138</v>
      </c>
      <c r="AC16" s="591"/>
      <c r="AD16" s="591"/>
      <c r="AE16" s="592"/>
      <c r="AF16" s="7"/>
      <c r="AG16" s="7"/>
      <c r="AH16" s="7"/>
      <c r="AI16" s="7"/>
      <c r="AJ16" s="7"/>
      <c r="AK16" s="7"/>
      <c r="AL16" s="7"/>
      <c r="AM16" s="7"/>
      <c r="AO16" s="370"/>
      <c r="AP16" s="371"/>
      <c r="AQ16" s="371"/>
      <c r="AR16" s="371"/>
      <c r="AS16" s="371"/>
      <c r="AT16" s="371"/>
      <c r="AU16" s="371"/>
      <c r="AV16" s="371"/>
      <c r="AW16" s="372"/>
    </row>
    <row r="17" spans="2:49" ht="17.100000000000001"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385">
        <f>COUNTA(J5:M13)+COUNTA(P5:S13)+COUNTA(V5:Y13)+COUNTA(AB5:AE13)+COUNTA(AH5:AK13)</f>
        <v>6</v>
      </c>
      <c r="AC17" s="386"/>
      <c r="AD17" s="386"/>
      <c r="AE17" s="387"/>
      <c r="AF17" s="7"/>
      <c r="AG17" s="7"/>
      <c r="AH17" s="7"/>
      <c r="AI17" s="7"/>
      <c r="AJ17" s="7"/>
      <c r="AK17" s="7"/>
      <c r="AL17" s="7"/>
      <c r="AM17" s="7"/>
      <c r="AO17" s="373"/>
      <c r="AP17" s="374"/>
      <c r="AQ17" s="374"/>
      <c r="AR17" s="374"/>
      <c r="AS17" s="374"/>
      <c r="AT17" s="374"/>
      <c r="AU17" s="374"/>
      <c r="AV17" s="374"/>
      <c r="AW17" s="375"/>
    </row>
    <row r="18" spans="2:49" ht="17.100000000000001" customHeight="1" thickBot="1">
      <c r="B18" s="7"/>
      <c r="C18" s="53" t="s">
        <v>576</v>
      </c>
      <c r="D18" s="7"/>
      <c r="E18" s="7"/>
      <c r="F18" s="7"/>
      <c r="G18" s="7"/>
      <c r="H18" s="293" t="s">
        <v>689</v>
      </c>
      <c r="I18" s="294"/>
      <c r="J18" s="294"/>
      <c r="K18" s="295"/>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O18" s="108"/>
      <c r="AP18" s="108"/>
      <c r="AQ18" s="108"/>
      <c r="AR18" s="108"/>
      <c r="AS18" s="108"/>
      <c r="AT18" s="108"/>
      <c r="AU18" s="108"/>
      <c r="AV18" s="108"/>
      <c r="AW18" s="108"/>
    </row>
    <row r="19" spans="2:49" ht="17.100000000000001" customHeight="1" thickBot="1">
      <c r="B19" s="7"/>
      <c r="C19" s="54" t="s">
        <v>73</v>
      </c>
      <c r="D19" s="7"/>
      <c r="E19" s="7"/>
      <c r="F19" s="7"/>
      <c r="G19" s="7"/>
      <c r="H19" s="298">
        <v>491200</v>
      </c>
      <c r="I19" s="299"/>
      <c r="J19" s="299"/>
      <c r="K19" s="300"/>
      <c r="L19" s="7" t="s">
        <v>121</v>
      </c>
      <c r="M19" s="7"/>
      <c r="N19" s="23"/>
      <c r="O19" s="7"/>
      <c r="P19" s="7"/>
      <c r="Q19" s="7"/>
      <c r="R19" s="7"/>
      <c r="S19" s="7"/>
      <c r="T19" s="7"/>
      <c r="U19" s="7"/>
      <c r="V19" s="7"/>
      <c r="W19" s="7"/>
      <c r="X19" s="7"/>
      <c r="Y19" s="7"/>
      <c r="Z19" s="7"/>
      <c r="AA19" s="7"/>
      <c r="AB19" s="7"/>
      <c r="AC19" s="7"/>
      <c r="AD19" s="7"/>
      <c r="AE19" s="7"/>
      <c r="AF19" s="7"/>
      <c r="AG19" s="7"/>
      <c r="AH19" s="7"/>
      <c r="AI19" s="7"/>
      <c r="AJ19" s="7"/>
      <c r="AK19" s="7"/>
      <c r="AL19" s="7"/>
      <c r="AM19" s="7"/>
      <c r="AS19" s="59"/>
    </row>
    <row r="20" spans="2:49" ht="17.100000000000001" customHeight="1" thickBot="1">
      <c r="B20" s="7"/>
      <c r="C20" s="54" t="s">
        <v>74</v>
      </c>
      <c r="D20" s="7"/>
      <c r="E20" s="7"/>
      <c r="F20" s="7"/>
      <c r="G20" s="7"/>
      <c r="H20" s="551">
        <v>491200</v>
      </c>
      <c r="I20" s="552"/>
      <c r="J20" s="552"/>
      <c r="K20" s="553"/>
      <c r="L20" s="7" t="s">
        <v>121</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S20" s="59"/>
    </row>
    <row r="21" spans="2:49" ht="17.100000000000001" customHeight="1" thickBot="1">
      <c r="B21" s="7"/>
      <c r="C21" s="54" t="s">
        <v>120</v>
      </c>
      <c r="D21" s="7"/>
      <c r="E21" s="7"/>
      <c r="F21" s="7"/>
      <c r="G21" s="7"/>
      <c r="H21" s="579">
        <f>H19+H20</f>
        <v>982400</v>
      </c>
      <c r="I21" s="580"/>
      <c r="J21" s="580"/>
      <c r="K21" s="581"/>
      <c r="L21" s="7" t="s">
        <v>121</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S21" s="59"/>
    </row>
    <row r="22" spans="2:49" ht="17.100000000000001" customHeight="1" thickBot="1">
      <c r="B22" s="7"/>
      <c r="C22" s="54" t="s">
        <v>210</v>
      </c>
      <c r="D22" s="7"/>
      <c r="E22" s="7"/>
      <c r="F22" s="7"/>
      <c r="G22" s="7"/>
      <c r="H22" s="570">
        <f>IF(H18="중소기업",IF((H19/H21 * 100)&gt;60,"ERROR",H19/H21 * 100),IF((H19/H21 * 100)&gt;50,"ERROR",H19/H21 * 100))</f>
        <v>50</v>
      </c>
      <c r="I22" s="571"/>
      <c r="J22" s="571"/>
      <c r="K22" s="572"/>
      <c r="L22" s="7" t="s">
        <v>122</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S22" s="60"/>
    </row>
    <row r="23" spans="2:49" ht="17.100000000000001" customHeight="1" thickBot="1">
      <c r="B23" s="7"/>
      <c r="C23" s="54" t="s">
        <v>211</v>
      </c>
      <c r="D23" s="7"/>
      <c r="E23" s="7"/>
      <c r="F23" s="7"/>
      <c r="G23" s="7"/>
      <c r="H23" s="573">
        <f>IF(H22="ERROR", "ERROR", H20/H21 * 100)</f>
        <v>50</v>
      </c>
      <c r="I23" s="574"/>
      <c r="J23" s="574"/>
      <c r="K23" s="575"/>
      <c r="L23" s="7" t="s">
        <v>122</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88"/>
      <c r="AO23" s="88"/>
      <c r="AP23" s="88"/>
      <c r="AQ23" s="88"/>
      <c r="AR23" s="88"/>
      <c r="AS23" s="60"/>
    </row>
    <row r="24" spans="2:49" ht="17.100000000000001" customHeight="1" thickBot="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88"/>
      <c r="AO24" s="88"/>
      <c r="AP24" s="88"/>
      <c r="AQ24" s="88"/>
      <c r="AR24" s="88"/>
      <c r="AS24" s="60"/>
    </row>
    <row r="25" spans="2:49" ht="17.100000000000001" customHeight="1">
      <c r="B25" s="7"/>
      <c r="C25" s="7" t="s">
        <v>75</v>
      </c>
      <c r="D25" s="7"/>
      <c r="E25" s="7"/>
      <c r="F25" s="7"/>
      <c r="G25" s="7"/>
      <c r="H25" s="388" t="s">
        <v>717</v>
      </c>
      <c r="I25" s="389"/>
      <c r="J25" s="389"/>
      <c r="K25" s="389"/>
      <c r="L25" s="389"/>
      <c r="M25" s="389"/>
      <c r="N25" s="389"/>
      <c r="O25" s="389"/>
      <c r="P25" s="389"/>
      <c r="Q25" s="389"/>
      <c r="R25" s="389"/>
      <c r="S25" s="389"/>
      <c r="T25" s="389"/>
      <c r="U25" s="389"/>
      <c r="V25" s="389"/>
      <c r="W25" s="389"/>
      <c r="X25" s="390"/>
      <c r="Y25" s="24"/>
      <c r="Z25" s="25"/>
      <c r="AA25" s="24"/>
      <c r="AB25" s="24"/>
      <c r="AC25" s="24"/>
      <c r="AD25" s="26"/>
      <c r="AE25" s="26"/>
      <c r="AF25" s="26"/>
      <c r="AG25" s="26"/>
      <c r="AH25" s="7"/>
      <c r="AI25" s="7"/>
      <c r="AJ25" s="7"/>
      <c r="AK25" s="7"/>
      <c r="AL25" s="7"/>
      <c r="AM25" s="7"/>
      <c r="AN25" s="88"/>
      <c r="AO25" s="88"/>
      <c r="AP25" s="88"/>
      <c r="AQ25" s="88"/>
      <c r="AR25" s="88"/>
      <c r="AS25" s="60"/>
    </row>
    <row r="26" spans="2:49" ht="17.100000000000001" customHeight="1">
      <c r="B26" s="7"/>
      <c r="C26" s="7"/>
      <c r="D26" s="7"/>
      <c r="E26" s="7"/>
      <c r="F26" s="7"/>
      <c r="G26" s="7"/>
      <c r="H26" s="391"/>
      <c r="I26" s="392"/>
      <c r="J26" s="392"/>
      <c r="K26" s="392"/>
      <c r="L26" s="392"/>
      <c r="M26" s="392"/>
      <c r="N26" s="392"/>
      <c r="O26" s="392"/>
      <c r="P26" s="392"/>
      <c r="Q26" s="392"/>
      <c r="R26" s="392"/>
      <c r="S26" s="392"/>
      <c r="T26" s="392"/>
      <c r="U26" s="392"/>
      <c r="V26" s="392"/>
      <c r="W26" s="392"/>
      <c r="X26" s="393"/>
      <c r="Y26" s="24"/>
      <c r="Z26" s="24"/>
      <c r="AA26" s="24"/>
      <c r="AB26" s="24"/>
      <c r="AC26" s="24"/>
      <c r="AD26" s="26"/>
      <c r="AE26" s="26"/>
      <c r="AF26" s="26"/>
      <c r="AG26" s="26"/>
      <c r="AH26" s="7"/>
      <c r="AI26" s="7"/>
      <c r="AJ26" s="7"/>
      <c r="AK26" s="7"/>
      <c r="AL26" s="7"/>
      <c r="AM26" s="7"/>
      <c r="AN26" s="88"/>
      <c r="AO26" s="88"/>
      <c r="AP26" s="88"/>
      <c r="AQ26" s="88"/>
      <c r="AR26" s="88"/>
    </row>
    <row r="27" spans="2:49" ht="17.100000000000001" customHeight="1" thickBot="1">
      <c r="B27" s="7"/>
      <c r="C27" s="7"/>
      <c r="D27" s="7"/>
      <c r="E27" s="7"/>
      <c r="F27" s="7"/>
      <c r="G27" s="7"/>
      <c r="H27" s="394"/>
      <c r="I27" s="395"/>
      <c r="J27" s="395"/>
      <c r="K27" s="395"/>
      <c r="L27" s="395"/>
      <c r="M27" s="395"/>
      <c r="N27" s="395"/>
      <c r="O27" s="395"/>
      <c r="P27" s="395"/>
      <c r="Q27" s="395"/>
      <c r="R27" s="395"/>
      <c r="S27" s="395"/>
      <c r="T27" s="395"/>
      <c r="U27" s="395"/>
      <c r="V27" s="395"/>
      <c r="W27" s="395"/>
      <c r="X27" s="396"/>
      <c r="Y27" s="24"/>
      <c r="Z27" s="24"/>
      <c r="AA27" s="24"/>
      <c r="AB27" s="24"/>
      <c r="AC27" s="24"/>
      <c r="AD27" s="27"/>
      <c r="AE27" s="27"/>
      <c r="AF27" s="27"/>
      <c r="AG27" s="27"/>
      <c r="AH27" s="7"/>
      <c r="AI27" s="7"/>
      <c r="AJ27" s="7"/>
      <c r="AK27" s="7"/>
      <c r="AL27" s="7"/>
      <c r="AM27" s="7"/>
      <c r="AN27" s="88"/>
      <c r="AO27" s="88"/>
      <c r="AP27" s="88"/>
      <c r="AQ27" s="88"/>
      <c r="AR27" s="88"/>
    </row>
    <row r="28" spans="2:49" ht="17.100000000000001" customHeight="1" thickBot="1">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88"/>
      <c r="AO28" s="88"/>
      <c r="AP28" s="88"/>
      <c r="AQ28" s="88"/>
      <c r="AR28" s="88"/>
      <c r="AS28" s="61"/>
    </row>
    <row r="29" spans="2:49" ht="17.100000000000001" customHeight="1">
      <c r="B29" s="7"/>
      <c r="C29" s="7" t="s">
        <v>76</v>
      </c>
      <c r="D29" s="7"/>
      <c r="E29" s="7"/>
      <c r="F29" s="7"/>
      <c r="G29" s="7"/>
      <c r="H29" s="525" t="s">
        <v>71</v>
      </c>
      <c r="I29" s="526"/>
      <c r="J29" s="526"/>
      <c r="K29" s="527"/>
      <c r="L29" s="528" t="s">
        <v>110</v>
      </c>
      <c r="M29" s="526"/>
      <c r="N29" s="526"/>
      <c r="O29" s="526"/>
      <c r="P29" s="527"/>
      <c r="Q29" s="528" t="s">
        <v>111</v>
      </c>
      <c r="R29" s="526"/>
      <c r="S29" s="526"/>
      <c r="T29" s="526"/>
      <c r="U29" s="527"/>
      <c r="V29" s="528" t="s">
        <v>109</v>
      </c>
      <c r="W29" s="526"/>
      <c r="X29" s="526"/>
      <c r="Y29" s="526"/>
      <c r="Z29" s="527"/>
      <c r="AA29" s="528" t="s">
        <v>108</v>
      </c>
      <c r="AB29" s="526"/>
      <c r="AC29" s="529"/>
      <c r="AD29" s="7"/>
      <c r="AE29" s="7"/>
      <c r="AF29" s="7"/>
      <c r="AG29" s="7"/>
      <c r="AH29" s="7"/>
      <c r="AI29" s="7"/>
      <c r="AJ29" s="7"/>
      <c r="AK29" s="7"/>
      <c r="AL29" s="7"/>
      <c r="AM29" s="7"/>
      <c r="AN29" s="88"/>
      <c r="AO29" s="88"/>
      <c r="AP29" s="88"/>
      <c r="AQ29" s="88"/>
      <c r="AR29" s="88"/>
    </row>
    <row r="30" spans="2:49" ht="17.100000000000001" customHeight="1">
      <c r="B30" s="7"/>
      <c r="C30" s="7"/>
      <c r="D30" s="7"/>
      <c r="E30" s="7"/>
      <c r="F30" s="7"/>
      <c r="G30" s="7"/>
      <c r="H30" s="576" t="s">
        <v>89</v>
      </c>
      <c r="I30" s="577"/>
      <c r="J30" s="577"/>
      <c r="K30" s="578"/>
      <c r="L30" s="520">
        <f>W187</f>
        <v>1941.2</v>
      </c>
      <c r="M30" s="521"/>
      <c r="N30" s="521"/>
      <c r="O30" s="521"/>
      <c r="P30" s="522"/>
      <c r="Q30" s="520">
        <f>Z187</f>
        <v>1734.8</v>
      </c>
      <c r="R30" s="521"/>
      <c r="S30" s="521"/>
      <c r="T30" s="521"/>
      <c r="U30" s="522"/>
      <c r="V30" s="520">
        <f>ROUND(AC187,3)</f>
        <v>206.4</v>
      </c>
      <c r="W30" s="521"/>
      <c r="X30" s="521"/>
      <c r="Y30" s="521"/>
      <c r="Z30" s="522"/>
      <c r="AA30" s="185">
        <f>AH187</f>
        <v>0.10632598392746759</v>
      </c>
      <c r="AB30" s="523"/>
      <c r="AC30" s="524"/>
      <c r="AD30" s="7"/>
      <c r="AE30" s="7"/>
      <c r="AF30" s="7"/>
      <c r="AG30" s="7"/>
      <c r="AH30" s="7"/>
      <c r="AI30" s="7"/>
      <c r="AJ30" s="7"/>
      <c r="AK30" s="7"/>
      <c r="AL30" s="7"/>
      <c r="AM30" s="7"/>
      <c r="AN30" s="88"/>
      <c r="AO30" s="88"/>
      <c r="AP30" s="88"/>
      <c r="AQ30" s="88"/>
      <c r="AR30" s="88"/>
      <c r="AS30" s="62"/>
    </row>
    <row r="31" spans="2:49" ht="17.100000000000001" customHeight="1">
      <c r="B31" s="7"/>
      <c r="C31" s="7"/>
      <c r="D31" s="7"/>
      <c r="E31" s="7"/>
      <c r="F31" s="7"/>
      <c r="G31" s="7"/>
      <c r="H31" s="576" t="s">
        <v>77</v>
      </c>
      <c r="I31" s="577"/>
      <c r="J31" s="577"/>
      <c r="K31" s="578"/>
      <c r="L31" s="584">
        <f>W198</f>
        <v>0</v>
      </c>
      <c r="M31" s="585"/>
      <c r="N31" s="585"/>
      <c r="O31" s="585"/>
      <c r="P31" s="586"/>
      <c r="Q31" s="584">
        <f>Z198</f>
        <v>102005</v>
      </c>
      <c r="R31" s="585"/>
      <c r="S31" s="585"/>
      <c r="T31" s="585"/>
      <c r="U31" s="586"/>
      <c r="V31" s="584">
        <f>AC198</f>
        <v>102005</v>
      </c>
      <c r="W31" s="585"/>
      <c r="X31" s="585"/>
      <c r="Y31" s="585"/>
      <c r="Z31" s="586"/>
      <c r="AA31" s="185">
        <f>AH198</f>
        <v>1</v>
      </c>
      <c r="AB31" s="523"/>
      <c r="AC31" s="524"/>
      <c r="AD31" s="7"/>
      <c r="AE31" s="7"/>
      <c r="AF31" s="7"/>
      <c r="AG31" s="7"/>
      <c r="AH31" s="7"/>
      <c r="AI31" s="7"/>
      <c r="AJ31" s="7"/>
      <c r="AK31" s="7"/>
      <c r="AL31" s="7"/>
      <c r="AM31" s="7"/>
      <c r="AS31" s="63"/>
    </row>
    <row r="32" spans="2:49" ht="17.100000000000001" customHeight="1">
      <c r="B32" s="7"/>
      <c r="C32" s="7"/>
      <c r="D32" s="7"/>
      <c r="E32" s="7"/>
      <c r="F32" s="7"/>
      <c r="G32" s="7"/>
      <c r="H32" s="576" t="s">
        <v>78</v>
      </c>
      <c r="I32" s="577"/>
      <c r="J32" s="577"/>
      <c r="K32" s="578"/>
      <c r="L32" s="587">
        <f>W209</f>
        <v>8.5000000000000006E-3</v>
      </c>
      <c r="M32" s="588"/>
      <c r="N32" s="588"/>
      <c r="O32" s="588"/>
      <c r="P32" s="589"/>
      <c r="Q32" s="587">
        <f>Z209</f>
        <v>8.4999999999999995E-4</v>
      </c>
      <c r="R32" s="588"/>
      <c r="S32" s="588"/>
      <c r="T32" s="588"/>
      <c r="U32" s="589"/>
      <c r="V32" s="587">
        <f>AC209</f>
        <v>7.6500000000000005E-3</v>
      </c>
      <c r="W32" s="588"/>
      <c r="X32" s="588"/>
      <c r="Y32" s="588"/>
      <c r="Z32" s="589"/>
      <c r="AA32" s="185">
        <f>AH209</f>
        <v>0.9</v>
      </c>
      <c r="AB32" s="523"/>
      <c r="AC32" s="524"/>
      <c r="AD32" s="7"/>
      <c r="AE32" s="7"/>
      <c r="AF32" s="7"/>
      <c r="AG32" s="7"/>
      <c r="AH32" s="7"/>
      <c r="AI32" s="7"/>
      <c r="AJ32" s="7"/>
      <c r="AK32" s="7"/>
      <c r="AL32" s="7"/>
      <c r="AM32" s="7"/>
      <c r="AS32" s="63"/>
    </row>
    <row r="33" spans="2:45" ht="17.100000000000001" customHeight="1">
      <c r="B33" s="7"/>
      <c r="C33" s="7"/>
      <c r="D33" s="7"/>
      <c r="E33" s="7"/>
      <c r="F33" s="7"/>
      <c r="G33" s="7"/>
      <c r="H33" s="576" t="s">
        <v>79</v>
      </c>
      <c r="I33" s="577"/>
      <c r="J33" s="577"/>
      <c r="K33" s="578"/>
      <c r="L33" s="545">
        <f>W220</f>
        <v>0</v>
      </c>
      <c r="M33" s="546"/>
      <c r="N33" s="546"/>
      <c r="O33" s="546"/>
      <c r="P33" s="547"/>
      <c r="Q33" s="545">
        <f>Z220</f>
        <v>0</v>
      </c>
      <c r="R33" s="546"/>
      <c r="S33" s="546"/>
      <c r="T33" s="546"/>
      <c r="U33" s="547"/>
      <c r="V33" s="545">
        <f>AC220</f>
        <v>0</v>
      </c>
      <c r="W33" s="546"/>
      <c r="X33" s="546"/>
      <c r="Y33" s="546"/>
      <c r="Z33" s="547"/>
      <c r="AA33" s="185" t="e">
        <f>AH220</f>
        <v>#DIV/0!</v>
      </c>
      <c r="AB33" s="523"/>
      <c r="AC33" s="524"/>
      <c r="AD33" s="7"/>
      <c r="AE33" s="7"/>
      <c r="AF33" s="7"/>
      <c r="AG33" s="7"/>
      <c r="AH33" s="7"/>
      <c r="AI33" s="7"/>
      <c r="AJ33" s="7"/>
      <c r="AK33" s="7"/>
      <c r="AL33" s="7"/>
      <c r="AM33" s="7"/>
      <c r="AS33" s="63"/>
    </row>
    <row r="34" spans="2:45" ht="17.100000000000001" customHeight="1">
      <c r="B34" s="7"/>
      <c r="C34" s="7"/>
      <c r="D34" s="7"/>
      <c r="E34" s="7"/>
      <c r="F34" s="7"/>
      <c r="G34" s="7"/>
      <c r="H34" s="576" t="s">
        <v>80</v>
      </c>
      <c r="I34" s="577"/>
      <c r="J34" s="577"/>
      <c r="K34" s="578"/>
      <c r="L34" s="545">
        <f>W231</f>
        <v>3.5</v>
      </c>
      <c r="M34" s="546"/>
      <c r="N34" s="546"/>
      <c r="O34" s="546"/>
      <c r="P34" s="547"/>
      <c r="Q34" s="545">
        <f>Z231</f>
        <v>0.7</v>
      </c>
      <c r="R34" s="546"/>
      <c r="S34" s="546"/>
      <c r="T34" s="546"/>
      <c r="U34" s="547"/>
      <c r="V34" s="545">
        <f>AC231</f>
        <v>2.8</v>
      </c>
      <c r="W34" s="546"/>
      <c r="X34" s="546"/>
      <c r="Y34" s="546"/>
      <c r="Z34" s="547"/>
      <c r="AA34" s="185">
        <f>AH231</f>
        <v>0.79999999999999993</v>
      </c>
      <c r="AB34" s="523"/>
      <c r="AC34" s="524"/>
      <c r="AD34" s="7"/>
      <c r="AE34" s="7"/>
      <c r="AF34" s="7"/>
      <c r="AG34" s="7"/>
      <c r="AH34" s="7"/>
      <c r="AI34" s="7"/>
      <c r="AJ34" s="7"/>
      <c r="AK34" s="7"/>
      <c r="AL34" s="7"/>
      <c r="AM34" s="7"/>
      <c r="AS34" s="60"/>
    </row>
    <row r="35" spans="2:45" ht="17.100000000000001" customHeight="1">
      <c r="B35" s="7"/>
      <c r="C35" s="7"/>
      <c r="D35" s="7"/>
      <c r="E35" s="7"/>
      <c r="F35" s="7"/>
      <c r="G35" s="7"/>
      <c r="H35" s="576" t="s">
        <v>81</v>
      </c>
      <c r="I35" s="577"/>
      <c r="J35" s="577"/>
      <c r="K35" s="578"/>
      <c r="L35" s="545">
        <f>W242</f>
        <v>0</v>
      </c>
      <c r="M35" s="546"/>
      <c r="N35" s="546"/>
      <c r="O35" s="546"/>
      <c r="P35" s="547"/>
      <c r="Q35" s="545">
        <f>Z242</f>
        <v>257.39999999999998</v>
      </c>
      <c r="R35" s="546"/>
      <c r="S35" s="546"/>
      <c r="T35" s="546"/>
      <c r="U35" s="547"/>
      <c r="V35" s="545">
        <f>AC242</f>
        <v>257.39999999999998</v>
      </c>
      <c r="W35" s="546"/>
      <c r="X35" s="546"/>
      <c r="Y35" s="546"/>
      <c r="Z35" s="547"/>
      <c r="AA35" s="185">
        <f>AH242</f>
        <v>1</v>
      </c>
      <c r="AB35" s="523"/>
      <c r="AC35" s="524"/>
      <c r="AD35" s="7"/>
      <c r="AE35" s="7"/>
      <c r="AF35" s="7"/>
      <c r="AG35" s="7"/>
      <c r="AH35" s="7"/>
      <c r="AI35" s="7"/>
      <c r="AJ35" s="7"/>
      <c r="AK35" s="7"/>
      <c r="AL35" s="7"/>
      <c r="AM35" s="7"/>
      <c r="AS35" s="62"/>
    </row>
    <row r="36" spans="2:45" ht="17.100000000000001" customHeight="1">
      <c r="B36" s="7"/>
      <c r="C36" s="7"/>
      <c r="D36" s="7"/>
      <c r="E36" s="7"/>
      <c r="F36" s="7"/>
      <c r="G36" s="7"/>
      <c r="H36" s="576" t="s">
        <v>112</v>
      </c>
      <c r="I36" s="577"/>
      <c r="J36" s="577"/>
      <c r="K36" s="578"/>
      <c r="L36" s="628">
        <f>W253</f>
        <v>0</v>
      </c>
      <c r="M36" s="629"/>
      <c r="N36" s="629"/>
      <c r="O36" s="629"/>
      <c r="P36" s="630"/>
      <c r="Q36" s="628">
        <f>Z253</f>
        <v>0</v>
      </c>
      <c r="R36" s="629"/>
      <c r="S36" s="629"/>
      <c r="T36" s="629"/>
      <c r="U36" s="630"/>
      <c r="V36" s="628">
        <f>AC253</f>
        <v>0</v>
      </c>
      <c r="W36" s="629"/>
      <c r="X36" s="629"/>
      <c r="Y36" s="629"/>
      <c r="Z36" s="630"/>
      <c r="AA36" s="185" t="e">
        <f>AH253</f>
        <v>#DIV/0!</v>
      </c>
      <c r="AB36" s="523"/>
      <c r="AC36" s="524"/>
      <c r="AD36" s="7"/>
      <c r="AE36" s="7"/>
      <c r="AF36" s="7"/>
      <c r="AG36" s="7"/>
      <c r="AH36" s="7"/>
      <c r="AI36" s="7"/>
      <c r="AJ36" s="7"/>
      <c r="AK36" s="7"/>
      <c r="AL36" s="7"/>
      <c r="AM36" s="7"/>
      <c r="AS36" s="64"/>
    </row>
    <row r="37" spans="2:45" ht="17.100000000000001" customHeight="1">
      <c r="B37" s="7"/>
      <c r="C37" s="7"/>
      <c r="D37" s="7"/>
      <c r="E37" s="7"/>
      <c r="F37" s="7"/>
      <c r="G37" s="7"/>
      <c r="H37" s="576" t="s">
        <v>113</v>
      </c>
      <c r="I37" s="577"/>
      <c r="J37" s="577"/>
      <c r="K37" s="578"/>
      <c r="L37" s="631">
        <f>W254</f>
        <v>0</v>
      </c>
      <c r="M37" s="632"/>
      <c r="N37" s="632"/>
      <c r="O37" s="632"/>
      <c r="P37" s="633"/>
      <c r="Q37" s="631">
        <f>Z254</f>
        <v>0</v>
      </c>
      <c r="R37" s="632"/>
      <c r="S37" s="632"/>
      <c r="T37" s="632"/>
      <c r="U37" s="633"/>
      <c r="V37" s="631">
        <f>AC254</f>
        <v>0</v>
      </c>
      <c r="W37" s="632"/>
      <c r="X37" s="632"/>
      <c r="Y37" s="632"/>
      <c r="Z37" s="633"/>
      <c r="AA37" s="185" t="e">
        <f>AH254</f>
        <v>#DIV/0!</v>
      </c>
      <c r="AB37" s="523"/>
      <c r="AC37" s="524"/>
      <c r="AD37" s="7"/>
      <c r="AE37" s="7"/>
      <c r="AF37" s="7"/>
      <c r="AG37" s="7"/>
      <c r="AH37" s="7"/>
      <c r="AI37" s="7"/>
      <c r="AJ37" s="7"/>
      <c r="AK37" s="7"/>
      <c r="AL37" s="7"/>
      <c r="AM37" s="7"/>
      <c r="AS37" s="64"/>
    </row>
    <row r="38" spans="2:45" ht="17.100000000000001" customHeight="1" thickBot="1">
      <c r="B38" s="7"/>
      <c r="C38" s="7"/>
      <c r="D38" s="7"/>
      <c r="E38" s="7"/>
      <c r="F38" s="7"/>
      <c r="G38" s="7"/>
      <c r="H38" s="660" t="s">
        <v>82</v>
      </c>
      <c r="I38" s="661"/>
      <c r="J38" s="661"/>
      <c r="K38" s="662"/>
      <c r="L38" s="195"/>
      <c r="M38" s="196"/>
      <c r="N38" s="196"/>
      <c r="O38" s="196"/>
      <c r="P38" s="197"/>
      <c r="Q38" s="195"/>
      <c r="R38" s="196"/>
      <c r="S38" s="196"/>
      <c r="T38" s="196"/>
      <c r="U38" s="197"/>
      <c r="V38" s="195"/>
      <c r="W38" s="196"/>
      <c r="X38" s="196"/>
      <c r="Y38" s="196"/>
      <c r="Z38" s="197"/>
      <c r="AA38" s="187"/>
      <c r="AB38" s="655"/>
      <c r="AC38" s="656"/>
      <c r="AD38" s="7"/>
      <c r="AE38" s="7"/>
      <c r="AF38" s="7"/>
      <c r="AG38" s="7"/>
      <c r="AH38" s="7"/>
      <c r="AI38" s="7"/>
      <c r="AJ38" s="7"/>
      <c r="AK38" s="7"/>
      <c r="AL38" s="7"/>
      <c r="AM38" s="7"/>
      <c r="AS38" s="64"/>
    </row>
    <row r="39" spans="2:45" ht="17.100000000000001" customHeight="1" thickBot="1">
      <c r="B39" s="7"/>
      <c r="C39" s="7"/>
      <c r="D39" s="7"/>
      <c r="E39" s="7"/>
      <c r="F39" s="7"/>
      <c r="G39" s="7"/>
      <c r="H39" s="28"/>
      <c r="I39" s="28"/>
      <c r="J39" s="28"/>
      <c r="K39" s="28"/>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S39" s="62"/>
    </row>
    <row r="40" spans="2:45" ht="17.100000000000001" customHeight="1">
      <c r="B40" s="7"/>
      <c r="C40" s="7" t="s">
        <v>83</v>
      </c>
      <c r="D40" s="7"/>
      <c r="E40" s="7"/>
      <c r="F40" s="7"/>
      <c r="G40" s="7"/>
      <c r="H40" s="388" t="s">
        <v>730</v>
      </c>
      <c r="I40" s="389"/>
      <c r="J40" s="389"/>
      <c r="K40" s="389"/>
      <c r="L40" s="389"/>
      <c r="M40" s="389"/>
      <c r="N40" s="389"/>
      <c r="O40" s="389"/>
      <c r="P40" s="389"/>
      <c r="Q40" s="389"/>
      <c r="R40" s="389"/>
      <c r="S40" s="389"/>
      <c r="T40" s="389"/>
      <c r="U40" s="389"/>
      <c r="V40" s="389"/>
      <c r="W40" s="389"/>
      <c r="X40" s="390"/>
      <c r="Y40" s="24"/>
      <c r="Z40" s="25"/>
      <c r="AA40" s="26"/>
      <c r="AB40" s="26"/>
      <c r="AC40" s="26"/>
      <c r="AD40" s="26"/>
      <c r="AE40" s="26"/>
      <c r="AF40" s="26"/>
      <c r="AG40" s="26"/>
      <c r="AH40" s="26"/>
      <c r="AI40" s="26"/>
      <c r="AJ40" s="26"/>
      <c r="AK40" s="26"/>
      <c r="AL40" s="7"/>
      <c r="AM40" s="7"/>
      <c r="AS40" s="62"/>
    </row>
    <row r="41" spans="2:45" ht="17.100000000000001" customHeight="1">
      <c r="B41" s="7"/>
      <c r="C41" s="7"/>
      <c r="D41" s="7"/>
      <c r="E41" s="7"/>
      <c r="F41" s="7"/>
      <c r="G41" s="7"/>
      <c r="H41" s="391"/>
      <c r="I41" s="392"/>
      <c r="J41" s="392"/>
      <c r="K41" s="392"/>
      <c r="L41" s="392"/>
      <c r="M41" s="392"/>
      <c r="N41" s="392"/>
      <c r="O41" s="392"/>
      <c r="P41" s="392"/>
      <c r="Q41" s="392"/>
      <c r="R41" s="392"/>
      <c r="S41" s="392"/>
      <c r="T41" s="392"/>
      <c r="U41" s="392"/>
      <c r="V41" s="392"/>
      <c r="W41" s="392"/>
      <c r="X41" s="393"/>
      <c r="Y41" s="24"/>
      <c r="Z41" s="24"/>
      <c r="AA41" s="26"/>
      <c r="AB41" s="26"/>
      <c r="AC41" s="26"/>
      <c r="AD41" s="26"/>
      <c r="AE41" s="26"/>
      <c r="AF41" s="26"/>
      <c r="AG41" s="26"/>
      <c r="AH41" s="26"/>
      <c r="AI41" s="26"/>
      <c r="AJ41" s="26"/>
      <c r="AK41" s="26"/>
      <c r="AL41" s="7"/>
      <c r="AM41" s="7"/>
      <c r="AS41" s="62"/>
    </row>
    <row r="42" spans="2:45" ht="17.100000000000001" customHeight="1">
      <c r="B42" s="7"/>
      <c r="C42" s="7"/>
      <c r="D42" s="7"/>
      <c r="E42" s="7"/>
      <c r="F42" s="7"/>
      <c r="G42" s="7"/>
      <c r="H42" s="391"/>
      <c r="I42" s="392"/>
      <c r="J42" s="392"/>
      <c r="K42" s="392"/>
      <c r="L42" s="392"/>
      <c r="M42" s="392"/>
      <c r="N42" s="392"/>
      <c r="O42" s="392"/>
      <c r="P42" s="392"/>
      <c r="Q42" s="392"/>
      <c r="R42" s="392"/>
      <c r="S42" s="392"/>
      <c r="T42" s="392"/>
      <c r="U42" s="392"/>
      <c r="V42" s="392"/>
      <c r="W42" s="392"/>
      <c r="X42" s="393"/>
      <c r="Y42" s="24"/>
      <c r="Z42" s="24"/>
      <c r="AA42" s="26"/>
      <c r="AB42" s="26"/>
      <c r="AC42" s="26"/>
      <c r="AD42" s="26"/>
      <c r="AE42" s="26"/>
      <c r="AF42" s="26"/>
      <c r="AG42" s="26"/>
      <c r="AH42" s="26"/>
      <c r="AI42" s="26"/>
      <c r="AJ42" s="26"/>
      <c r="AK42" s="26"/>
      <c r="AL42" s="7"/>
      <c r="AM42" s="7"/>
      <c r="AS42" s="62"/>
    </row>
    <row r="43" spans="2:45" ht="17.100000000000001" customHeight="1">
      <c r="B43" s="7"/>
      <c r="C43" s="7"/>
      <c r="D43" s="7"/>
      <c r="E43" s="7"/>
      <c r="F43" s="7"/>
      <c r="G43" s="7"/>
      <c r="H43" s="391"/>
      <c r="I43" s="392"/>
      <c r="J43" s="392"/>
      <c r="K43" s="392"/>
      <c r="L43" s="392"/>
      <c r="M43" s="392"/>
      <c r="N43" s="392"/>
      <c r="O43" s="392"/>
      <c r="P43" s="392"/>
      <c r="Q43" s="392"/>
      <c r="R43" s="392"/>
      <c r="S43" s="392"/>
      <c r="T43" s="392"/>
      <c r="U43" s="392"/>
      <c r="V43" s="392"/>
      <c r="W43" s="392"/>
      <c r="X43" s="393"/>
      <c r="Y43" s="24"/>
      <c r="Z43" s="24"/>
      <c r="AA43" s="26"/>
      <c r="AB43" s="26"/>
      <c r="AC43" s="26"/>
      <c r="AD43" s="26"/>
      <c r="AE43" s="26"/>
      <c r="AF43" s="26"/>
      <c r="AG43" s="26"/>
      <c r="AH43" s="26"/>
      <c r="AI43" s="26"/>
      <c r="AJ43" s="26"/>
      <c r="AK43" s="26"/>
      <c r="AL43" s="7"/>
      <c r="AM43" s="7"/>
      <c r="AS43" s="62"/>
    </row>
    <row r="44" spans="2:45" ht="17.100000000000001" customHeight="1">
      <c r="B44" s="7"/>
      <c r="C44" s="7"/>
      <c r="D44" s="7"/>
      <c r="E44" s="7"/>
      <c r="F44" s="7"/>
      <c r="G44" s="7"/>
      <c r="H44" s="391"/>
      <c r="I44" s="392"/>
      <c r="J44" s="392"/>
      <c r="K44" s="392"/>
      <c r="L44" s="392"/>
      <c r="M44" s="392"/>
      <c r="N44" s="392"/>
      <c r="O44" s="392"/>
      <c r="P44" s="392"/>
      <c r="Q44" s="392"/>
      <c r="R44" s="392"/>
      <c r="S44" s="392"/>
      <c r="T44" s="392"/>
      <c r="U44" s="392"/>
      <c r="V44" s="392"/>
      <c r="W44" s="392"/>
      <c r="X44" s="393"/>
      <c r="Y44" s="24"/>
      <c r="Z44" s="24"/>
      <c r="AA44" s="26"/>
      <c r="AB44" s="26"/>
      <c r="AC44" s="26"/>
      <c r="AD44" s="26"/>
      <c r="AE44" s="26"/>
      <c r="AF44" s="26"/>
      <c r="AG44" s="26"/>
      <c r="AH44" s="26"/>
      <c r="AI44" s="26"/>
      <c r="AJ44" s="26"/>
      <c r="AK44" s="26"/>
      <c r="AL44" s="7"/>
      <c r="AM44" s="7"/>
      <c r="AS44" s="62"/>
    </row>
    <row r="45" spans="2:45" ht="17.100000000000001" customHeight="1">
      <c r="B45" s="7"/>
      <c r="C45" s="7"/>
      <c r="D45" s="7"/>
      <c r="E45" s="7"/>
      <c r="F45" s="7"/>
      <c r="G45" s="7"/>
      <c r="H45" s="391"/>
      <c r="I45" s="392"/>
      <c r="J45" s="392"/>
      <c r="K45" s="392"/>
      <c r="L45" s="392"/>
      <c r="M45" s="392"/>
      <c r="N45" s="392"/>
      <c r="O45" s="392"/>
      <c r="P45" s="392"/>
      <c r="Q45" s="392"/>
      <c r="R45" s="392"/>
      <c r="S45" s="392"/>
      <c r="T45" s="392"/>
      <c r="U45" s="392"/>
      <c r="V45" s="392"/>
      <c r="W45" s="392"/>
      <c r="X45" s="393"/>
      <c r="Y45" s="24"/>
      <c r="Z45" s="24"/>
      <c r="AA45" s="26"/>
      <c r="AB45" s="26"/>
      <c r="AC45" s="26"/>
      <c r="AD45" s="26"/>
      <c r="AE45" s="26"/>
      <c r="AF45" s="26"/>
      <c r="AG45" s="26"/>
      <c r="AH45" s="26"/>
      <c r="AI45" s="26"/>
      <c r="AJ45" s="26"/>
      <c r="AK45" s="26"/>
      <c r="AL45" s="7"/>
      <c r="AM45" s="7"/>
      <c r="AS45" s="62"/>
    </row>
    <row r="46" spans="2:45" ht="17.100000000000001" customHeight="1" thickBot="1">
      <c r="B46" s="7"/>
      <c r="C46" s="7"/>
      <c r="D46" s="7"/>
      <c r="E46" s="7"/>
      <c r="F46" s="7"/>
      <c r="G46" s="7"/>
      <c r="H46" s="394"/>
      <c r="I46" s="395"/>
      <c r="J46" s="395"/>
      <c r="K46" s="395"/>
      <c r="L46" s="395"/>
      <c r="M46" s="395"/>
      <c r="N46" s="395"/>
      <c r="O46" s="395"/>
      <c r="P46" s="395"/>
      <c r="Q46" s="395"/>
      <c r="R46" s="395"/>
      <c r="S46" s="395"/>
      <c r="T46" s="395"/>
      <c r="U46" s="395"/>
      <c r="V46" s="395"/>
      <c r="W46" s="395"/>
      <c r="X46" s="396"/>
      <c r="Y46" s="24"/>
      <c r="Z46" s="24"/>
      <c r="AA46" s="26"/>
      <c r="AB46" s="26"/>
      <c r="AC46" s="26"/>
      <c r="AD46" s="26"/>
      <c r="AE46" s="26"/>
      <c r="AF46" s="26"/>
      <c r="AG46" s="26"/>
      <c r="AH46" s="26"/>
      <c r="AI46" s="26"/>
      <c r="AJ46" s="26"/>
      <c r="AK46" s="26"/>
      <c r="AL46" s="7"/>
      <c r="AM46" s="7"/>
      <c r="AS46" s="62"/>
    </row>
    <row r="47" spans="2:45" ht="17.100000000000001" customHeight="1" thickBot="1">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S47" s="62"/>
    </row>
    <row r="48" spans="2:45" ht="17.100000000000001" customHeight="1">
      <c r="B48" s="7"/>
      <c r="C48" s="7" t="s">
        <v>84</v>
      </c>
      <c r="D48" s="7"/>
      <c r="E48" s="7"/>
      <c r="F48" s="7"/>
      <c r="G48" s="7"/>
      <c r="H48" s="397" t="s">
        <v>714</v>
      </c>
      <c r="I48" s="389"/>
      <c r="J48" s="389"/>
      <c r="K48" s="389"/>
      <c r="L48" s="389"/>
      <c r="M48" s="389"/>
      <c r="N48" s="389"/>
      <c r="O48" s="389"/>
      <c r="P48" s="389"/>
      <c r="Q48" s="389"/>
      <c r="R48" s="389"/>
      <c r="S48" s="389"/>
      <c r="T48" s="389"/>
      <c r="U48" s="389"/>
      <c r="V48" s="389"/>
      <c r="W48" s="389"/>
      <c r="X48" s="390"/>
      <c r="Y48" s="24"/>
      <c r="Z48" s="25"/>
      <c r="AA48" s="24"/>
      <c r="AB48" s="24"/>
      <c r="AC48" s="24"/>
      <c r="AD48" s="24"/>
      <c r="AE48" s="24"/>
      <c r="AF48" s="24"/>
      <c r="AG48" s="24"/>
      <c r="AH48" s="24"/>
      <c r="AI48" s="24"/>
      <c r="AJ48" s="24"/>
      <c r="AK48" s="24"/>
      <c r="AL48" s="7"/>
      <c r="AM48" s="7"/>
      <c r="AS48" s="62"/>
    </row>
    <row r="49" spans="2:45" ht="17.100000000000001" customHeight="1">
      <c r="B49" s="7"/>
      <c r="C49" s="7"/>
      <c r="D49" s="7"/>
      <c r="E49" s="7"/>
      <c r="F49" s="7"/>
      <c r="G49" s="7"/>
      <c r="H49" s="391"/>
      <c r="I49" s="392"/>
      <c r="J49" s="392"/>
      <c r="K49" s="392"/>
      <c r="L49" s="392"/>
      <c r="M49" s="392"/>
      <c r="N49" s="392"/>
      <c r="O49" s="392"/>
      <c r="P49" s="392"/>
      <c r="Q49" s="392"/>
      <c r="R49" s="392"/>
      <c r="S49" s="392"/>
      <c r="T49" s="392"/>
      <c r="U49" s="392"/>
      <c r="V49" s="392"/>
      <c r="W49" s="392"/>
      <c r="X49" s="393"/>
      <c r="Y49" s="24"/>
      <c r="Z49" s="24"/>
      <c r="AA49" s="24"/>
      <c r="AB49" s="24"/>
      <c r="AC49" s="24"/>
      <c r="AD49" s="24"/>
      <c r="AE49" s="24"/>
      <c r="AF49" s="24"/>
      <c r="AG49" s="24"/>
      <c r="AH49" s="24"/>
      <c r="AI49" s="24"/>
      <c r="AJ49" s="24"/>
      <c r="AK49" s="24"/>
      <c r="AL49" s="7"/>
      <c r="AM49" s="7"/>
      <c r="AS49" s="62"/>
    </row>
    <row r="50" spans="2:45" ht="17.100000000000001" customHeight="1" thickBot="1">
      <c r="B50" s="7"/>
      <c r="C50" s="7"/>
      <c r="D50" s="7"/>
      <c r="E50" s="7"/>
      <c r="F50" s="7"/>
      <c r="G50" s="7"/>
      <c r="H50" s="394"/>
      <c r="I50" s="395"/>
      <c r="J50" s="395"/>
      <c r="K50" s="395"/>
      <c r="L50" s="395"/>
      <c r="M50" s="395"/>
      <c r="N50" s="395"/>
      <c r="O50" s="395"/>
      <c r="P50" s="395"/>
      <c r="Q50" s="395"/>
      <c r="R50" s="395"/>
      <c r="S50" s="395"/>
      <c r="T50" s="395"/>
      <c r="U50" s="395"/>
      <c r="V50" s="395"/>
      <c r="W50" s="395"/>
      <c r="X50" s="396"/>
      <c r="Y50" s="24"/>
      <c r="Z50" s="24"/>
      <c r="AA50" s="24"/>
      <c r="AB50" s="24"/>
      <c r="AC50" s="24"/>
      <c r="AD50" s="24"/>
      <c r="AE50" s="24"/>
      <c r="AF50" s="24"/>
      <c r="AG50" s="24"/>
      <c r="AH50" s="24"/>
      <c r="AI50" s="24"/>
      <c r="AJ50" s="24"/>
      <c r="AK50" s="24"/>
      <c r="AL50" s="7"/>
      <c r="AM50" s="7"/>
      <c r="AS50" s="62"/>
    </row>
    <row r="51" spans="2:45" ht="17.100000000000001" customHeight="1" thickBo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S51" s="62"/>
    </row>
    <row r="52" spans="2:45" ht="17.100000000000001" customHeight="1">
      <c r="B52" s="7"/>
      <c r="C52" s="7" t="s">
        <v>85</v>
      </c>
      <c r="D52" s="7"/>
      <c r="E52" s="7"/>
      <c r="F52" s="7"/>
      <c r="G52" s="7"/>
      <c r="H52" s="397" t="s">
        <v>719</v>
      </c>
      <c r="I52" s="389"/>
      <c r="J52" s="389"/>
      <c r="K52" s="389"/>
      <c r="L52" s="389"/>
      <c r="M52" s="389"/>
      <c r="N52" s="389"/>
      <c r="O52" s="389"/>
      <c r="P52" s="389"/>
      <c r="Q52" s="389"/>
      <c r="R52" s="389"/>
      <c r="S52" s="389"/>
      <c r="T52" s="389"/>
      <c r="U52" s="389"/>
      <c r="V52" s="389"/>
      <c r="W52" s="389"/>
      <c r="X52" s="390"/>
      <c r="Y52" s="24"/>
      <c r="Z52" s="25"/>
      <c r="AA52" s="24"/>
      <c r="AB52" s="24"/>
      <c r="AC52" s="24"/>
      <c r="AD52" s="24"/>
      <c r="AE52" s="24"/>
      <c r="AF52" s="24"/>
      <c r="AG52" s="24"/>
      <c r="AH52" s="24"/>
      <c r="AI52" s="24"/>
      <c r="AJ52" s="24"/>
      <c r="AK52" s="24"/>
      <c r="AL52" s="7"/>
      <c r="AM52" s="7"/>
      <c r="AS52" s="62"/>
    </row>
    <row r="53" spans="2:45" ht="17.100000000000001" customHeight="1">
      <c r="B53" s="7"/>
      <c r="C53" s="7"/>
      <c r="D53" s="7"/>
      <c r="E53" s="7"/>
      <c r="F53" s="7"/>
      <c r="G53" s="7"/>
      <c r="H53" s="391"/>
      <c r="I53" s="392"/>
      <c r="J53" s="392"/>
      <c r="K53" s="392"/>
      <c r="L53" s="392"/>
      <c r="M53" s="392"/>
      <c r="N53" s="392"/>
      <c r="O53" s="392"/>
      <c r="P53" s="392"/>
      <c r="Q53" s="392"/>
      <c r="R53" s="392"/>
      <c r="S53" s="392"/>
      <c r="T53" s="392"/>
      <c r="U53" s="392"/>
      <c r="V53" s="392"/>
      <c r="W53" s="392"/>
      <c r="X53" s="393"/>
      <c r="Y53" s="24"/>
      <c r="Z53" s="24"/>
      <c r="AA53" s="24"/>
      <c r="AB53" s="24"/>
      <c r="AC53" s="24"/>
      <c r="AD53" s="24"/>
      <c r="AE53" s="24"/>
      <c r="AF53" s="24"/>
      <c r="AG53" s="24"/>
      <c r="AH53" s="24"/>
      <c r="AI53" s="24"/>
      <c r="AJ53" s="24"/>
      <c r="AK53" s="24"/>
      <c r="AL53" s="7"/>
      <c r="AM53" s="7"/>
      <c r="AS53" s="62"/>
    </row>
    <row r="54" spans="2:45" ht="17.100000000000001" customHeight="1" thickBot="1">
      <c r="B54" s="7"/>
      <c r="C54" s="7"/>
      <c r="D54" s="7"/>
      <c r="E54" s="7"/>
      <c r="F54" s="7"/>
      <c r="G54" s="7"/>
      <c r="H54" s="394"/>
      <c r="I54" s="395"/>
      <c r="J54" s="395"/>
      <c r="K54" s="395"/>
      <c r="L54" s="395"/>
      <c r="M54" s="395"/>
      <c r="N54" s="395"/>
      <c r="O54" s="395"/>
      <c r="P54" s="395"/>
      <c r="Q54" s="395"/>
      <c r="R54" s="395"/>
      <c r="S54" s="395"/>
      <c r="T54" s="395"/>
      <c r="U54" s="395"/>
      <c r="V54" s="395"/>
      <c r="W54" s="395"/>
      <c r="X54" s="396"/>
      <c r="Y54" s="24"/>
      <c r="Z54" s="24"/>
      <c r="AA54" s="24"/>
      <c r="AB54" s="24"/>
      <c r="AC54" s="24"/>
      <c r="AD54" s="24"/>
      <c r="AE54" s="24"/>
      <c r="AF54" s="24"/>
      <c r="AG54" s="24"/>
      <c r="AH54" s="24"/>
      <c r="AI54" s="24"/>
      <c r="AJ54" s="24"/>
      <c r="AK54" s="24"/>
      <c r="AL54" s="7"/>
      <c r="AM54" s="7"/>
      <c r="AS54" s="62"/>
    </row>
    <row r="55" spans="2:45" ht="17.100000000000001" customHeight="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S55"/>
    </row>
    <row r="56" spans="2:45" ht="17.100000000000001" customHeight="1">
      <c r="B56" s="92" t="s">
        <v>491</v>
      </c>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S56"/>
    </row>
    <row r="57" spans="2:45" ht="17.100000000000001" customHeight="1" thickBot="1">
      <c r="B57" s="92"/>
      <c r="C57" s="93" t="s">
        <v>501</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S57"/>
    </row>
    <row r="58" spans="2:45" ht="17.100000000000001" customHeight="1" thickBot="1">
      <c r="B58" s="91"/>
      <c r="C58" s="91"/>
      <c r="D58" s="91" t="s">
        <v>485</v>
      </c>
      <c r="E58" s="91"/>
      <c r="F58" s="91"/>
      <c r="G58" s="91"/>
      <c r="H58" s="531" t="str">
        <f>$H$14</f>
        <v>㈜현대공업</v>
      </c>
      <c r="I58" s="532"/>
      <c r="J58" s="532"/>
      <c r="K58" s="532"/>
      <c r="L58" s="532"/>
      <c r="M58" s="532"/>
      <c r="N58" s="532"/>
      <c r="O58" s="532"/>
      <c r="P58" s="532"/>
      <c r="Q58" s="532"/>
      <c r="R58" s="532"/>
      <c r="S58" s="532"/>
      <c r="T58" s="533"/>
      <c r="U58" s="91"/>
      <c r="V58" s="91"/>
      <c r="W58" s="91"/>
      <c r="X58" s="91"/>
      <c r="Y58" s="91"/>
      <c r="Z58" s="91"/>
      <c r="AA58" s="91"/>
      <c r="AB58" s="91"/>
      <c r="AC58" s="91"/>
      <c r="AD58" s="91"/>
      <c r="AE58" s="91"/>
      <c r="AF58" s="91"/>
      <c r="AG58" s="91"/>
      <c r="AH58" s="91"/>
      <c r="AI58" s="91"/>
      <c r="AJ58" s="91"/>
      <c r="AK58" s="91"/>
      <c r="AL58" s="91"/>
      <c r="AM58" s="91"/>
      <c r="AS58"/>
    </row>
    <row r="59" spans="2:45" ht="17.100000000000001" customHeight="1" thickBot="1">
      <c r="B59" s="91"/>
      <c r="C59" s="91"/>
      <c r="D59" s="91" t="s">
        <v>510</v>
      </c>
      <c r="E59" s="91"/>
      <c r="F59" s="91"/>
      <c r="G59" s="91"/>
      <c r="H59" s="534">
        <v>2024</v>
      </c>
      <c r="I59" s="535"/>
      <c r="J59" s="96" t="s">
        <v>117</v>
      </c>
      <c r="K59" s="180">
        <v>2</v>
      </c>
      <c r="L59" s="96" t="s">
        <v>118</v>
      </c>
      <c r="M59" s="180">
        <v>26</v>
      </c>
      <c r="N59" s="95" t="s">
        <v>119</v>
      </c>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S59"/>
    </row>
    <row r="60" spans="2:45" ht="17.100000000000001" customHeight="1" thickBot="1">
      <c r="B60" s="91"/>
      <c r="C60" s="91"/>
      <c r="D60" s="91" t="s">
        <v>594</v>
      </c>
      <c r="E60" s="91"/>
      <c r="F60" s="91"/>
      <c r="G60" s="91"/>
      <c r="H60" s="534"/>
      <c r="I60" s="535"/>
      <c r="J60" s="109" t="s">
        <v>595</v>
      </c>
      <c r="K60" s="169"/>
      <c r="L60" s="96"/>
      <c r="M60" s="169"/>
      <c r="N60" s="95"/>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S60"/>
    </row>
    <row r="61" spans="2:45" ht="17.100000000000001" customHeight="1" thickBot="1">
      <c r="B61" s="91"/>
      <c r="C61" s="91"/>
      <c r="D61" s="91" t="s">
        <v>486</v>
      </c>
      <c r="E61" s="91"/>
      <c r="F61" s="91"/>
      <c r="G61" s="91"/>
      <c r="H61" s="293" t="s">
        <v>680</v>
      </c>
      <c r="I61" s="294"/>
      <c r="J61" s="294"/>
      <c r="K61" s="294"/>
      <c r="L61" s="294"/>
      <c r="M61" s="294"/>
      <c r="N61" s="294"/>
      <c r="O61" s="294"/>
      <c r="P61" s="294"/>
      <c r="Q61" s="294"/>
      <c r="R61" s="294"/>
      <c r="S61" s="294"/>
      <c r="T61" s="295"/>
      <c r="U61" s="91"/>
      <c r="V61" s="91"/>
      <c r="W61" s="91"/>
      <c r="X61" s="91"/>
      <c r="Y61" s="91"/>
      <c r="Z61" s="91"/>
      <c r="AA61" s="91"/>
      <c r="AB61" s="91"/>
      <c r="AC61" s="91"/>
      <c r="AD61" s="91"/>
      <c r="AE61" s="91"/>
      <c r="AF61" s="91"/>
      <c r="AG61" s="91"/>
      <c r="AH61" s="91"/>
      <c r="AI61" s="91"/>
      <c r="AJ61" s="91"/>
      <c r="AK61" s="91"/>
      <c r="AL61" s="91"/>
      <c r="AM61" s="91"/>
      <c r="AS61"/>
    </row>
    <row r="62" spans="2:45" ht="17.100000000000001" customHeight="1" thickBot="1">
      <c r="B62" s="91"/>
      <c r="C62" s="91"/>
      <c r="D62" s="91" t="s">
        <v>487</v>
      </c>
      <c r="E62" s="91"/>
      <c r="F62" s="91"/>
      <c r="G62" s="91"/>
      <c r="H62" s="511">
        <v>6108101557</v>
      </c>
      <c r="I62" s="512"/>
      <c r="J62" s="512"/>
      <c r="K62" s="512"/>
      <c r="L62" s="512"/>
      <c r="M62" s="512"/>
      <c r="N62" s="512"/>
      <c r="O62" s="512"/>
      <c r="P62" s="512"/>
      <c r="Q62" s="512"/>
      <c r="R62" s="512"/>
      <c r="S62" s="512"/>
      <c r="T62" s="513"/>
      <c r="U62" s="91" t="s">
        <v>611</v>
      </c>
      <c r="V62" s="91"/>
      <c r="W62" s="91"/>
      <c r="X62" s="91"/>
      <c r="Y62" s="91"/>
      <c r="Z62" s="91"/>
      <c r="AA62" s="91"/>
      <c r="AB62" s="91"/>
      <c r="AC62" s="91"/>
      <c r="AD62" s="91"/>
      <c r="AE62" s="91"/>
      <c r="AF62" s="91"/>
      <c r="AG62" s="91"/>
      <c r="AH62" s="91"/>
      <c r="AI62" s="91"/>
      <c r="AJ62" s="91"/>
      <c r="AK62" s="91"/>
      <c r="AL62" s="91"/>
      <c r="AM62" s="91"/>
      <c r="AS62"/>
    </row>
    <row r="63" spans="2:45" ht="17.100000000000001" customHeight="1" thickBot="1">
      <c r="B63" s="91"/>
      <c r="C63" s="91"/>
      <c r="D63" s="91" t="s">
        <v>492</v>
      </c>
      <c r="E63" s="91"/>
      <c r="F63" s="91"/>
      <c r="G63" s="91"/>
      <c r="H63" s="454">
        <v>1812110001102</v>
      </c>
      <c r="I63" s="455"/>
      <c r="J63" s="455"/>
      <c r="K63" s="455"/>
      <c r="L63" s="455"/>
      <c r="M63" s="455"/>
      <c r="N63" s="455"/>
      <c r="O63" s="455"/>
      <c r="P63" s="455"/>
      <c r="Q63" s="455"/>
      <c r="R63" s="455"/>
      <c r="S63" s="455"/>
      <c r="T63" s="456"/>
      <c r="U63" s="91"/>
      <c r="V63" s="91"/>
      <c r="W63" s="91"/>
      <c r="X63" s="91"/>
      <c r="Y63" s="91"/>
      <c r="Z63" s="91"/>
      <c r="AA63" s="91"/>
      <c r="AB63" s="91"/>
      <c r="AC63" s="91"/>
      <c r="AD63" s="91"/>
      <c r="AE63" s="91"/>
      <c r="AF63" s="91"/>
      <c r="AG63" s="91"/>
      <c r="AH63" s="91"/>
      <c r="AI63" s="91"/>
      <c r="AJ63" s="91"/>
      <c r="AK63" s="91"/>
      <c r="AL63" s="91"/>
      <c r="AM63" s="91"/>
      <c r="AS63"/>
    </row>
    <row r="64" spans="2:45" ht="17.100000000000001" customHeight="1" thickBot="1">
      <c r="B64" s="91"/>
      <c r="C64" s="91"/>
      <c r="D64" s="91" t="s">
        <v>493</v>
      </c>
      <c r="E64" s="91"/>
      <c r="F64" s="91"/>
      <c r="G64" s="91"/>
      <c r="H64" s="296" t="s">
        <v>255</v>
      </c>
      <c r="I64" s="297"/>
      <c r="J64" s="298" t="s">
        <v>261</v>
      </c>
      <c r="K64" s="299"/>
      <c r="L64" s="299"/>
      <c r="M64" s="299"/>
      <c r="N64" s="299"/>
      <c r="O64" s="300"/>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S64"/>
    </row>
    <row r="65" spans="2:45" ht="17.100000000000001" customHeight="1" thickBot="1">
      <c r="B65" s="91"/>
      <c r="C65" s="91"/>
      <c r="D65" s="91"/>
      <c r="E65" s="91"/>
      <c r="F65" s="91"/>
      <c r="G65" s="91"/>
      <c r="H65" s="296" t="s">
        <v>272</v>
      </c>
      <c r="I65" s="297"/>
      <c r="J65" s="308" t="s">
        <v>390</v>
      </c>
      <c r="K65" s="309"/>
      <c r="L65" s="309"/>
      <c r="M65" s="309"/>
      <c r="N65" s="309"/>
      <c r="O65" s="310"/>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S65"/>
    </row>
    <row r="66" spans="2:45" ht="17.100000000000001" customHeight="1">
      <c r="B66" s="91"/>
      <c r="C66" s="91"/>
      <c r="D66" s="91"/>
      <c r="E66" s="91"/>
      <c r="F66" s="91"/>
      <c r="G66" s="91"/>
      <c r="H66" s="311" t="s">
        <v>482</v>
      </c>
      <c r="I66" s="312"/>
      <c r="J66" s="315" t="s">
        <v>681</v>
      </c>
      <c r="K66" s="316"/>
      <c r="L66" s="316"/>
      <c r="M66" s="316"/>
      <c r="N66" s="316"/>
      <c r="O66" s="316"/>
      <c r="P66" s="316"/>
      <c r="Q66" s="316"/>
      <c r="R66" s="316"/>
      <c r="S66" s="316"/>
      <c r="T66" s="317"/>
      <c r="U66" s="91"/>
      <c r="V66" s="91"/>
      <c r="W66" s="91"/>
      <c r="X66" s="91"/>
      <c r="Y66" s="91"/>
      <c r="Z66" s="91"/>
      <c r="AA66" s="91"/>
      <c r="AB66" s="91"/>
      <c r="AC66" s="91"/>
      <c r="AD66" s="91"/>
      <c r="AE66" s="91"/>
      <c r="AF66" s="91"/>
      <c r="AG66" s="91"/>
      <c r="AH66" s="91"/>
      <c r="AI66" s="91"/>
      <c r="AJ66" s="91"/>
      <c r="AK66" s="91"/>
      <c r="AL66" s="91"/>
      <c r="AM66" s="91"/>
      <c r="AS66"/>
    </row>
    <row r="67" spans="2:45" ht="17.100000000000001" customHeight="1" thickBot="1">
      <c r="B67" s="91"/>
      <c r="C67" s="91"/>
      <c r="D67" s="91"/>
      <c r="E67" s="91"/>
      <c r="F67" s="91"/>
      <c r="G67" s="91"/>
      <c r="H67" s="313"/>
      <c r="I67" s="314"/>
      <c r="J67" s="318"/>
      <c r="K67" s="319"/>
      <c r="L67" s="319"/>
      <c r="M67" s="319"/>
      <c r="N67" s="319"/>
      <c r="O67" s="319"/>
      <c r="P67" s="319"/>
      <c r="Q67" s="319"/>
      <c r="R67" s="319"/>
      <c r="S67" s="319"/>
      <c r="T67" s="320"/>
      <c r="U67" s="91"/>
      <c r="V67" s="91"/>
      <c r="W67" s="91"/>
      <c r="X67" s="91"/>
      <c r="Y67" s="91"/>
      <c r="Z67" s="91"/>
      <c r="AA67" s="91"/>
      <c r="AB67" s="91"/>
      <c r="AC67" s="91"/>
      <c r="AD67" s="91"/>
      <c r="AE67" s="91"/>
      <c r="AF67" s="91"/>
      <c r="AG67" s="91"/>
      <c r="AH67" s="91"/>
      <c r="AI67" s="91"/>
      <c r="AJ67" s="91"/>
      <c r="AK67" s="91"/>
      <c r="AL67" s="91"/>
      <c r="AM67" s="91"/>
      <c r="AS67"/>
    </row>
    <row r="68" spans="2:45" ht="17.100000000000001" customHeight="1" thickBot="1">
      <c r="B68" s="91"/>
      <c r="C68" s="91"/>
      <c r="D68" s="91"/>
      <c r="E68" s="91"/>
      <c r="F68" s="91"/>
      <c r="G68" s="91"/>
      <c r="H68" s="457" t="s">
        <v>484</v>
      </c>
      <c r="I68" s="458"/>
      <c r="J68" s="566">
        <v>44222</v>
      </c>
      <c r="K68" s="566"/>
      <c r="L68" s="566"/>
      <c r="M68" s="566"/>
      <c r="N68" s="566"/>
      <c r="O68" s="567"/>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S68"/>
    </row>
    <row r="69" spans="2:45" ht="17.100000000000001" customHeight="1" thickBot="1">
      <c r="B69" s="91"/>
      <c r="C69" s="91"/>
      <c r="D69" s="91" t="s">
        <v>483</v>
      </c>
      <c r="E69" s="91"/>
      <c r="F69" s="91"/>
      <c r="G69" s="91"/>
      <c r="H69" s="298" t="s">
        <v>684</v>
      </c>
      <c r="I69" s="299"/>
      <c r="J69" s="299"/>
      <c r="K69" s="299"/>
      <c r="L69" s="299"/>
      <c r="M69" s="299"/>
      <c r="N69" s="299"/>
      <c r="O69" s="299"/>
      <c r="P69" s="299"/>
      <c r="Q69" s="299"/>
      <c r="R69" s="299"/>
      <c r="S69" s="299"/>
      <c r="T69" s="300"/>
      <c r="U69" s="91"/>
      <c r="V69" s="91"/>
      <c r="W69" s="91"/>
      <c r="X69" s="91"/>
      <c r="Y69" s="91"/>
      <c r="Z69" s="91"/>
      <c r="AA69" s="91"/>
      <c r="AB69" s="91"/>
      <c r="AC69" s="91"/>
      <c r="AD69" s="91"/>
      <c r="AE69" s="91"/>
      <c r="AF69" s="91"/>
      <c r="AG69" s="91"/>
      <c r="AH69" s="91"/>
      <c r="AI69" s="91"/>
      <c r="AJ69" s="91"/>
      <c r="AK69" s="91"/>
      <c r="AL69" s="91"/>
      <c r="AM69" s="91"/>
      <c r="AS69"/>
    </row>
    <row r="70" spans="2:45" ht="17.100000000000001" customHeight="1" thickBot="1">
      <c r="B70" s="91"/>
      <c r="C70" s="91"/>
      <c r="D70" s="91" t="s">
        <v>494</v>
      </c>
      <c r="E70" s="91"/>
      <c r="F70" s="91"/>
      <c r="G70" s="91"/>
      <c r="H70" s="293" t="s">
        <v>721</v>
      </c>
      <c r="I70" s="294"/>
      <c r="J70" s="294"/>
      <c r="K70" s="294"/>
      <c r="L70" s="294"/>
      <c r="M70" s="294"/>
      <c r="N70" s="294"/>
      <c r="O70" s="294"/>
      <c r="P70" s="294"/>
      <c r="Q70" s="294"/>
      <c r="R70" s="294"/>
      <c r="S70" s="294"/>
      <c r="T70" s="295"/>
      <c r="U70" s="91"/>
      <c r="V70" s="91"/>
      <c r="W70" s="91"/>
      <c r="X70" s="91"/>
      <c r="Y70" s="91"/>
      <c r="Z70" s="91"/>
      <c r="AA70" s="91"/>
      <c r="AB70" s="91"/>
      <c r="AC70" s="91"/>
      <c r="AD70" s="91"/>
      <c r="AE70" s="91"/>
      <c r="AF70" s="91"/>
      <c r="AG70" s="91"/>
      <c r="AH70" s="91"/>
      <c r="AI70" s="91"/>
      <c r="AJ70" s="91"/>
      <c r="AK70" s="91"/>
      <c r="AL70" s="91"/>
      <c r="AM70" s="91"/>
      <c r="AS70"/>
    </row>
    <row r="71" spans="2:45" ht="17.100000000000001" customHeight="1" thickBot="1">
      <c r="B71" s="91"/>
      <c r="C71" s="91"/>
      <c r="D71" s="91"/>
      <c r="E71" s="91" t="s">
        <v>495</v>
      </c>
      <c r="F71" s="91"/>
      <c r="G71" s="91"/>
      <c r="H71" s="293" t="s">
        <v>722</v>
      </c>
      <c r="I71" s="294"/>
      <c r="J71" s="294"/>
      <c r="K71" s="294"/>
      <c r="L71" s="294"/>
      <c r="M71" s="294"/>
      <c r="N71" s="294"/>
      <c r="O71" s="294"/>
      <c r="P71" s="294"/>
      <c r="Q71" s="294"/>
      <c r="R71" s="294"/>
      <c r="S71" s="294"/>
      <c r="T71" s="295"/>
      <c r="U71" s="91"/>
      <c r="V71" s="91"/>
      <c r="W71" s="91"/>
      <c r="X71" s="91"/>
      <c r="Y71" s="91"/>
      <c r="Z71" s="91"/>
      <c r="AA71" s="91"/>
      <c r="AB71" s="91"/>
      <c r="AC71" s="91"/>
      <c r="AD71" s="91"/>
      <c r="AE71" s="91"/>
      <c r="AF71" s="91"/>
      <c r="AG71" s="91"/>
      <c r="AH71" s="91"/>
      <c r="AI71" s="91"/>
      <c r="AJ71" s="91"/>
      <c r="AK71" s="91"/>
      <c r="AL71" s="91"/>
      <c r="AM71" s="91"/>
      <c r="AS71"/>
    </row>
    <row r="72" spans="2:45" ht="17.100000000000001" customHeight="1" thickBot="1">
      <c r="B72" s="91"/>
      <c r="C72" s="91"/>
      <c r="D72" s="91"/>
      <c r="E72" s="91" t="s">
        <v>496</v>
      </c>
      <c r="F72" s="91"/>
      <c r="G72" s="91"/>
      <c r="H72" s="557" t="s">
        <v>723</v>
      </c>
      <c r="I72" s="294"/>
      <c r="J72" s="294"/>
      <c r="K72" s="294"/>
      <c r="L72" s="294"/>
      <c r="M72" s="294"/>
      <c r="N72" s="294"/>
      <c r="O72" s="294"/>
      <c r="P72" s="294"/>
      <c r="Q72" s="294"/>
      <c r="R72" s="294"/>
      <c r="S72" s="294"/>
      <c r="T72" s="295"/>
      <c r="U72" s="91"/>
      <c r="V72" s="91"/>
      <c r="W72" s="91"/>
      <c r="X72" s="91"/>
      <c r="Y72" s="91"/>
      <c r="Z72" s="91"/>
      <c r="AA72" s="91"/>
      <c r="AB72" s="91"/>
      <c r="AC72" s="91"/>
      <c r="AD72" s="91"/>
      <c r="AE72" s="91"/>
      <c r="AF72" s="91"/>
      <c r="AG72" s="91"/>
      <c r="AH72" s="91"/>
      <c r="AI72" s="91"/>
      <c r="AJ72" s="91"/>
      <c r="AK72" s="91"/>
      <c r="AL72" s="91"/>
      <c r="AM72" s="91"/>
      <c r="AS72"/>
    </row>
    <row r="73" spans="2:45" ht="17.100000000000001" customHeight="1" thickBot="1">
      <c r="B73" s="91"/>
      <c r="C73" s="91"/>
      <c r="D73" s="91"/>
      <c r="E73" s="91" t="s">
        <v>497</v>
      </c>
      <c r="F73" s="91"/>
      <c r="G73" s="91"/>
      <c r="H73" s="305" t="s">
        <v>724</v>
      </c>
      <c r="I73" s="306"/>
      <c r="J73" s="306"/>
      <c r="K73" s="306"/>
      <c r="L73" s="306"/>
      <c r="M73" s="306"/>
      <c r="N73" s="306"/>
      <c r="O73" s="306"/>
      <c r="P73" s="306"/>
      <c r="Q73" s="306"/>
      <c r="R73" s="306"/>
      <c r="S73" s="306"/>
      <c r="T73" s="307"/>
      <c r="U73" s="91"/>
      <c r="V73" s="91"/>
      <c r="W73" s="91"/>
      <c r="X73" s="91"/>
      <c r="Y73" s="91"/>
      <c r="Z73" s="91"/>
      <c r="AA73" s="91"/>
      <c r="AB73" s="91"/>
      <c r="AC73" s="91"/>
      <c r="AD73" s="91"/>
      <c r="AE73" s="91"/>
      <c r="AF73" s="91"/>
      <c r="AG73" s="91"/>
      <c r="AH73" s="91"/>
      <c r="AI73" s="91"/>
      <c r="AJ73" s="91"/>
      <c r="AK73" s="91"/>
      <c r="AL73" s="91"/>
      <c r="AM73" s="91"/>
      <c r="AS73"/>
    </row>
    <row r="74" spans="2:45" ht="17.100000000000001" customHeight="1" thickBot="1">
      <c r="B74" s="91"/>
      <c r="C74" s="91"/>
      <c r="D74" s="91"/>
      <c r="E74" s="91" t="s">
        <v>498</v>
      </c>
      <c r="F74" s="91"/>
      <c r="G74" s="91"/>
      <c r="H74" s="290">
        <v>1000000000</v>
      </c>
      <c r="I74" s="291"/>
      <c r="J74" s="291"/>
      <c r="K74" s="291"/>
      <c r="L74" s="291"/>
      <c r="M74" s="291"/>
      <c r="N74" s="291"/>
      <c r="O74" s="291"/>
      <c r="P74" s="291"/>
      <c r="Q74" s="291"/>
      <c r="R74" s="291"/>
      <c r="S74" s="291"/>
      <c r="T74" s="292"/>
      <c r="U74" s="91"/>
      <c r="V74" s="91"/>
      <c r="W74" s="91"/>
      <c r="X74" s="91"/>
      <c r="Y74" s="91"/>
      <c r="Z74" s="91"/>
      <c r="AA74" s="91"/>
      <c r="AB74" s="91"/>
      <c r="AC74" s="91"/>
      <c r="AD74" s="91"/>
      <c r="AE74" s="91"/>
      <c r="AF74" s="91"/>
      <c r="AG74" s="91"/>
      <c r="AH74" s="91"/>
      <c r="AI74" s="91"/>
      <c r="AJ74" s="91"/>
      <c r="AK74" s="91"/>
      <c r="AL74" s="91"/>
      <c r="AM74" s="91"/>
      <c r="AS74"/>
    </row>
    <row r="75" spans="2:45" ht="17.100000000000001" customHeight="1" thickBot="1">
      <c r="B75" s="91"/>
      <c r="C75" s="91"/>
      <c r="D75" s="91" t="s">
        <v>592</v>
      </c>
      <c r="E75" s="91"/>
      <c r="F75" s="91"/>
      <c r="G75" s="91"/>
      <c r="H75" s="293" t="s">
        <v>721</v>
      </c>
      <c r="I75" s="294"/>
      <c r="J75" s="294"/>
      <c r="K75" s="294"/>
      <c r="L75" s="294"/>
      <c r="M75" s="294"/>
      <c r="N75" s="294"/>
      <c r="O75" s="294"/>
      <c r="P75" s="294"/>
      <c r="Q75" s="294"/>
      <c r="R75" s="294"/>
      <c r="S75" s="294"/>
      <c r="T75" s="295"/>
      <c r="U75" s="91"/>
      <c r="V75" s="91"/>
      <c r="W75" s="91"/>
      <c r="X75" s="91"/>
      <c r="Y75" s="91"/>
      <c r="Z75" s="91"/>
      <c r="AA75" s="91"/>
      <c r="AB75" s="91"/>
      <c r="AC75" s="91"/>
      <c r="AD75" s="91"/>
      <c r="AE75" s="91"/>
      <c r="AF75" s="91"/>
      <c r="AG75" s="91"/>
      <c r="AH75" s="91"/>
      <c r="AI75" s="91"/>
      <c r="AJ75" s="91"/>
      <c r="AK75" s="91"/>
      <c r="AL75" s="91"/>
      <c r="AM75" s="91"/>
      <c r="AS75"/>
    </row>
    <row r="76" spans="2:45" ht="17.100000000000001" customHeight="1" thickBot="1">
      <c r="B76" s="91"/>
      <c r="C76" s="91"/>
      <c r="D76" s="91"/>
      <c r="E76" s="91" t="s">
        <v>490</v>
      </c>
      <c r="F76" s="91"/>
      <c r="G76" s="91"/>
      <c r="H76" s="293" t="s">
        <v>725</v>
      </c>
      <c r="I76" s="294"/>
      <c r="J76" s="294"/>
      <c r="K76" s="294"/>
      <c r="L76" s="294"/>
      <c r="M76" s="294"/>
      <c r="N76" s="294"/>
      <c r="O76" s="294"/>
      <c r="P76" s="294"/>
      <c r="Q76" s="294"/>
      <c r="R76" s="294"/>
      <c r="S76" s="294"/>
      <c r="T76" s="295"/>
      <c r="U76" s="91"/>
      <c r="V76" s="91"/>
      <c r="W76" s="91"/>
      <c r="X76" s="91"/>
      <c r="Y76" s="91"/>
      <c r="Z76" s="91"/>
      <c r="AA76" s="91"/>
      <c r="AB76" s="91"/>
      <c r="AC76" s="91"/>
      <c r="AD76" s="91"/>
      <c r="AE76" s="91"/>
      <c r="AF76" s="91"/>
      <c r="AG76" s="91"/>
      <c r="AH76" s="91"/>
      <c r="AI76" s="91"/>
      <c r="AJ76" s="91"/>
      <c r="AK76" s="91"/>
      <c r="AL76" s="91"/>
      <c r="AM76" s="91"/>
      <c r="AS76"/>
    </row>
    <row r="77" spans="2:45" ht="17.100000000000001" customHeight="1" thickBot="1">
      <c r="B77" s="91"/>
      <c r="C77" s="91"/>
      <c r="D77" s="91"/>
      <c r="E77" s="91" t="s">
        <v>496</v>
      </c>
      <c r="F77" s="91"/>
      <c r="G77" s="91"/>
      <c r="H77" s="557" t="s">
        <v>723</v>
      </c>
      <c r="I77" s="558"/>
      <c r="J77" s="558"/>
      <c r="K77" s="558"/>
      <c r="L77" s="558"/>
      <c r="M77" s="558"/>
      <c r="N77" s="558"/>
      <c r="O77" s="558"/>
      <c r="P77" s="558"/>
      <c r="Q77" s="558"/>
      <c r="R77" s="558"/>
      <c r="S77" s="558"/>
      <c r="T77" s="559"/>
      <c r="U77" s="91"/>
      <c r="V77" s="91"/>
      <c r="W77" s="91"/>
      <c r="X77" s="91"/>
      <c r="Y77" s="91"/>
      <c r="Z77" s="91"/>
      <c r="AA77" s="91"/>
      <c r="AB77" s="91"/>
      <c r="AC77" s="91"/>
      <c r="AD77" s="91"/>
      <c r="AE77" s="91"/>
      <c r="AF77" s="91"/>
      <c r="AG77" s="91"/>
      <c r="AH77" s="91"/>
      <c r="AI77" s="91"/>
      <c r="AJ77" s="91"/>
      <c r="AK77" s="91"/>
      <c r="AL77" s="91"/>
      <c r="AM77" s="91"/>
      <c r="AS77"/>
    </row>
    <row r="78" spans="2:45" ht="17.100000000000001" customHeight="1" thickBot="1">
      <c r="B78" s="91"/>
      <c r="C78" s="91"/>
      <c r="D78" s="91"/>
      <c r="E78" s="91" t="s">
        <v>497</v>
      </c>
      <c r="F78" s="91"/>
      <c r="G78" s="91"/>
      <c r="H78" s="305" t="s">
        <v>724</v>
      </c>
      <c r="I78" s="306"/>
      <c r="J78" s="306"/>
      <c r="K78" s="306"/>
      <c r="L78" s="306"/>
      <c r="M78" s="306"/>
      <c r="N78" s="306"/>
      <c r="O78" s="306"/>
      <c r="P78" s="306"/>
      <c r="Q78" s="306"/>
      <c r="R78" s="306"/>
      <c r="S78" s="306"/>
      <c r="T78" s="307"/>
      <c r="U78" s="91"/>
      <c r="V78" s="91"/>
      <c r="W78" s="91"/>
      <c r="X78" s="91"/>
      <c r="Y78" s="91"/>
      <c r="Z78" s="91"/>
      <c r="AA78" s="91"/>
      <c r="AB78" s="91"/>
      <c r="AC78" s="91"/>
      <c r="AD78" s="91"/>
      <c r="AE78" s="91"/>
      <c r="AF78" s="91"/>
      <c r="AG78" s="91"/>
      <c r="AH78" s="91"/>
      <c r="AI78" s="91"/>
      <c r="AJ78" s="91"/>
      <c r="AK78" s="91"/>
      <c r="AL78" s="91"/>
      <c r="AM78" s="91"/>
      <c r="AS78"/>
    </row>
    <row r="79" spans="2:45" ht="17.100000000000001" customHeight="1" thickBot="1">
      <c r="B79" s="91"/>
      <c r="C79" s="91"/>
      <c r="D79" s="91"/>
      <c r="E79" s="91" t="s">
        <v>498</v>
      </c>
      <c r="F79" s="91"/>
      <c r="G79" s="91"/>
      <c r="H79" s="290">
        <v>1000000000</v>
      </c>
      <c r="I79" s="291"/>
      <c r="J79" s="291"/>
      <c r="K79" s="291"/>
      <c r="L79" s="291"/>
      <c r="M79" s="291"/>
      <c r="N79" s="291"/>
      <c r="O79" s="291"/>
      <c r="P79" s="291"/>
      <c r="Q79" s="291"/>
      <c r="R79" s="291"/>
      <c r="S79" s="291"/>
      <c r="T79" s="292"/>
      <c r="U79" s="91"/>
      <c r="V79" s="91"/>
      <c r="W79" s="91"/>
      <c r="X79" s="91"/>
      <c r="Y79" s="91"/>
      <c r="Z79" s="91"/>
      <c r="AA79" s="91"/>
      <c r="AB79" s="91"/>
      <c r="AC79" s="91"/>
      <c r="AD79" s="91"/>
      <c r="AE79" s="91"/>
      <c r="AF79" s="91"/>
      <c r="AG79" s="91"/>
      <c r="AH79" s="91"/>
      <c r="AI79" s="91"/>
      <c r="AJ79" s="91"/>
      <c r="AK79" s="91"/>
      <c r="AL79" s="91"/>
      <c r="AM79" s="91"/>
      <c r="AS79"/>
    </row>
    <row r="80" spans="2:45" ht="17.100000000000001" customHeight="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S80"/>
    </row>
    <row r="81" spans="2:45" ht="17.100000000000001" customHeight="1" thickBot="1">
      <c r="B81" s="91"/>
      <c r="C81" s="94" t="s">
        <v>502</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S81"/>
    </row>
    <row r="82" spans="2:45" ht="17.100000000000001" customHeight="1" thickBot="1">
      <c r="B82" s="91"/>
      <c r="C82" s="91"/>
      <c r="D82" s="91" t="s">
        <v>485</v>
      </c>
      <c r="E82" s="91"/>
      <c r="F82" s="91"/>
      <c r="G82" s="91"/>
      <c r="H82" s="293" t="s">
        <v>726</v>
      </c>
      <c r="I82" s="294"/>
      <c r="J82" s="294"/>
      <c r="K82" s="294"/>
      <c r="L82" s="294"/>
      <c r="M82" s="294"/>
      <c r="N82" s="294"/>
      <c r="O82" s="294"/>
      <c r="P82" s="294"/>
      <c r="Q82" s="294"/>
      <c r="R82" s="294"/>
      <c r="S82" s="294"/>
      <c r="T82" s="295"/>
      <c r="U82" s="91"/>
      <c r="V82" s="91"/>
      <c r="W82" s="91"/>
      <c r="X82" s="91"/>
      <c r="Y82" s="91"/>
      <c r="Z82" s="91"/>
      <c r="AA82" s="91"/>
      <c r="AB82" s="91"/>
      <c r="AC82" s="91"/>
      <c r="AD82" s="91"/>
      <c r="AE82" s="91"/>
      <c r="AF82" s="91"/>
      <c r="AG82" s="91"/>
      <c r="AH82" s="91"/>
      <c r="AI82" s="91"/>
      <c r="AJ82" s="91"/>
      <c r="AK82" s="91"/>
      <c r="AL82" s="91"/>
      <c r="AM82" s="91"/>
      <c r="AS82"/>
    </row>
    <row r="83" spans="2:45" ht="17.100000000000001" customHeight="1" thickBot="1">
      <c r="B83" s="91"/>
      <c r="C83" s="91"/>
      <c r="D83" s="91" t="s">
        <v>486</v>
      </c>
      <c r="E83" s="91"/>
      <c r="F83" s="91"/>
      <c r="G83" s="91"/>
      <c r="H83" s="293" t="s">
        <v>721</v>
      </c>
      <c r="I83" s="294"/>
      <c r="J83" s="294"/>
      <c r="K83" s="294"/>
      <c r="L83" s="294"/>
      <c r="M83" s="294"/>
      <c r="N83" s="294"/>
      <c r="O83" s="294"/>
      <c r="P83" s="294"/>
      <c r="Q83" s="294"/>
      <c r="R83" s="294"/>
      <c r="S83" s="294"/>
      <c r="T83" s="295"/>
      <c r="U83" s="91"/>
      <c r="V83" s="91"/>
      <c r="W83" s="91"/>
      <c r="X83" s="91"/>
      <c r="Y83" s="91"/>
      <c r="Z83" s="91"/>
      <c r="AA83" s="91"/>
      <c r="AB83" s="91"/>
      <c r="AC83" s="91"/>
      <c r="AD83" s="91"/>
      <c r="AE83" s="91"/>
      <c r="AF83" s="91"/>
      <c r="AG83" s="91"/>
      <c r="AH83" s="91"/>
      <c r="AI83" s="91"/>
      <c r="AJ83" s="91"/>
      <c r="AK83" s="91"/>
      <c r="AL83" s="91"/>
      <c r="AM83" s="91"/>
      <c r="AS83"/>
    </row>
    <row r="84" spans="2:45" ht="17.100000000000001" customHeight="1" thickBot="1">
      <c r="B84" s="91"/>
      <c r="C84" s="91"/>
      <c r="D84" s="91" t="s">
        <v>487</v>
      </c>
      <c r="E84" s="91"/>
      <c r="F84" s="91"/>
      <c r="G84" s="91"/>
      <c r="H84" s="511">
        <v>1234567890</v>
      </c>
      <c r="I84" s="512"/>
      <c r="J84" s="512"/>
      <c r="K84" s="512"/>
      <c r="L84" s="512"/>
      <c r="M84" s="512"/>
      <c r="N84" s="512"/>
      <c r="O84" s="512"/>
      <c r="P84" s="512"/>
      <c r="Q84" s="512"/>
      <c r="R84" s="512"/>
      <c r="S84" s="512"/>
      <c r="T84" s="513"/>
      <c r="U84" s="91"/>
      <c r="V84" s="91"/>
      <c r="W84" s="91"/>
      <c r="X84" s="91"/>
      <c r="Y84" s="91"/>
      <c r="Z84" s="91"/>
      <c r="AA84" s="91"/>
      <c r="AB84" s="91"/>
      <c r="AC84" s="91"/>
      <c r="AD84" s="91"/>
      <c r="AE84" s="91"/>
      <c r="AF84" s="91"/>
      <c r="AG84" s="91"/>
      <c r="AH84" s="91"/>
      <c r="AI84" s="91"/>
      <c r="AJ84" s="91"/>
      <c r="AK84" s="91"/>
      <c r="AL84" s="91"/>
      <c r="AM84" s="91"/>
      <c r="AS84"/>
    </row>
    <row r="85" spans="2:45" ht="17.100000000000001" customHeight="1" thickBot="1">
      <c r="B85" s="91"/>
      <c r="C85" s="91"/>
      <c r="D85" s="91" t="s">
        <v>488</v>
      </c>
      <c r="E85" s="91"/>
      <c r="F85" s="91"/>
      <c r="G85" s="91"/>
      <c r="H85" s="298" t="s">
        <v>678</v>
      </c>
      <c r="I85" s="299"/>
      <c r="J85" s="299"/>
      <c r="K85" s="299"/>
      <c r="L85" s="299"/>
      <c r="M85" s="299"/>
      <c r="N85" s="299"/>
      <c r="O85" s="299"/>
      <c r="P85" s="299"/>
      <c r="Q85" s="299"/>
      <c r="R85" s="299"/>
      <c r="S85" s="299"/>
      <c r="T85" s="300"/>
      <c r="U85" s="91"/>
      <c r="V85" s="91"/>
      <c r="W85" s="91"/>
      <c r="X85" s="91"/>
      <c r="Y85" s="91"/>
      <c r="Z85" s="91"/>
      <c r="AA85" s="91"/>
      <c r="AB85" s="91"/>
      <c r="AC85" s="91"/>
      <c r="AD85" s="91"/>
      <c r="AE85" s="91"/>
      <c r="AF85" s="91"/>
      <c r="AG85" s="91"/>
      <c r="AH85" s="91"/>
      <c r="AI85" s="91"/>
      <c r="AJ85" s="91"/>
      <c r="AK85" s="91"/>
      <c r="AL85" s="91"/>
      <c r="AM85" s="91"/>
      <c r="AS85"/>
    </row>
    <row r="86" spans="2:45" ht="17.100000000000001" customHeight="1" thickBot="1">
      <c r="B86" s="91"/>
      <c r="C86" s="91"/>
      <c r="D86" s="91" t="s">
        <v>489</v>
      </c>
      <c r="E86" s="91"/>
      <c r="F86" s="91"/>
      <c r="G86" s="91"/>
      <c r="H86" s="293" t="s">
        <v>721</v>
      </c>
      <c r="I86" s="294"/>
      <c r="J86" s="294"/>
      <c r="K86" s="294"/>
      <c r="L86" s="294"/>
      <c r="M86" s="294"/>
      <c r="N86" s="294"/>
      <c r="O86" s="294"/>
      <c r="P86" s="294"/>
      <c r="Q86" s="294"/>
      <c r="R86" s="294"/>
      <c r="S86" s="294"/>
      <c r="T86" s="295"/>
      <c r="U86" s="91"/>
      <c r="V86" s="91"/>
      <c r="W86" s="91"/>
      <c r="X86" s="91"/>
      <c r="Y86" s="91"/>
      <c r="Z86" s="91"/>
      <c r="AA86" s="91"/>
      <c r="AB86" s="91"/>
      <c r="AC86" s="91"/>
      <c r="AD86" s="91"/>
      <c r="AE86" s="91"/>
      <c r="AF86" s="91"/>
      <c r="AG86" s="91"/>
      <c r="AH86" s="91"/>
      <c r="AI86" s="91"/>
      <c r="AJ86" s="91"/>
      <c r="AK86" s="91"/>
      <c r="AL86" s="91"/>
      <c r="AM86" s="91"/>
      <c r="AS86"/>
    </row>
    <row r="87" spans="2:45" ht="17.100000000000001" customHeight="1" thickBot="1">
      <c r="B87" s="91"/>
      <c r="C87" s="91"/>
      <c r="D87" s="91" t="s">
        <v>495</v>
      </c>
      <c r="E87" s="91"/>
      <c r="F87" s="91"/>
      <c r="G87" s="91"/>
      <c r="H87" s="293" t="s">
        <v>727</v>
      </c>
      <c r="I87" s="294"/>
      <c r="J87" s="294"/>
      <c r="K87" s="294"/>
      <c r="L87" s="294"/>
      <c r="M87" s="294"/>
      <c r="N87" s="294"/>
      <c r="O87" s="294"/>
      <c r="P87" s="294"/>
      <c r="Q87" s="294"/>
      <c r="R87" s="294"/>
      <c r="S87" s="294"/>
      <c r="T87" s="295"/>
      <c r="U87" s="91"/>
      <c r="V87" s="91"/>
      <c r="W87" s="91"/>
      <c r="X87" s="91"/>
      <c r="Y87" s="91"/>
      <c r="Z87" s="91"/>
      <c r="AA87" s="91"/>
      <c r="AB87" s="91"/>
      <c r="AC87" s="91"/>
      <c r="AD87" s="91"/>
      <c r="AE87" s="91"/>
      <c r="AF87" s="91"/>
      <c r="AG87" s="91"/>
      <c r="AH87" s="91"/>
      <c r="AI87" s="91"/>
      <c r="AJ87" s="91"/>
      <c r="AK87" s="91"/>
      <c r="AL87" s="91"/>
      <c r="AM87" s="91"/>
      <c r="AS87"/>
    </row>
    <row r="88" spans="2:45" ht="17.100000000000001" customHeight="1" thickBot="1">
      <c r="B88" s="91"/>
      <c r="C88" s="91"/>
      <c r="D88" s="91" t="s">
        <v>496</v>
      </c>
      <c r="E88" s="91"/>
      <c r="F88" s="91"/>
      <c r="G88" s="91"/>
      <c r="H88" s="557" t="s">
        <v>723</v>
      </c>
      <c r="I88" s="558"/>
      <c r="J88" s="558"/>
      <c r="K88" s="558"/>
      <c r="L88" s="558"/>
      <c r="M88" s="558"/>
      <c r="N88" s="558"/>
      <c r="O88" s="558"/>
      <c r="P88" s="558"/>
      <c r="Q88" s="558"/>
      <c r="R88" s="558"/>
      <c r="S88" s="558"/>
      <c r="T88" s="559"/>
      <c r="U88" s="91"/>
      <c r="V88" s="91"/>
      <c r="W88" s="91"/>
      <c r="X88" s="91"/>
      <c r="Y88" s="91"/>
      <c r="Z88" s="91"/>
      <c r="AA88" s="91"/>
      <c r="AB88" s="91"/>
      <c r="AC88" s="91"/>
      <c r="AD88" s="91"/>
      <c r="AE88" s="91"/>
      <c r="AF88" s="91"/>
      <c r="AG88" s="91"/>
      <c r="AH88" s="91"/>
      <c r="AI88" s="91"/>
      <c r="AJ88" s="91"/>
      <c r="AK88" s="91"/>
      <c r="AL88" s="91"/>
      <c r="AM88" s="91"/>
      <c r="AS88"/>
    </row>
    <row r="89" spans="2:45" ht="17.100000000000001" customHeight="1" thickBot="1">
      <c r="B89" s="91"/>
      <c r="C89" s="91"/>
      <c r="D89" s="91" t="s">
        <v>497</v>
      </c>
      <c r="E89" s="91"/>
      <c r="F89" s="91"/>
      <c r="G89" s="91"/>
      <c r="H89" s="305" t="s">
        <v>728</v>
      </c>
      <c r="I89" s="306"/>
      <c r="J89" s="306"/>
      <c r="K89" s="306"/>
      <c r="L89" s="306"/>
      <c r="M89" s="306"/>
      <c r="N89" s="306"/>
      <c r="O89" s="306"/>
      <c r="P89" s="306"/>
      <c r="Q89" s="306"/>
      <c r="R89" s="306"/>
      <c r="S89" s="306"/>
      <c r="T89" s="307"/>
      <c r="U89" s="91"/>
      <c r="V89" s="91"/>
      <c r="W89" s="91"/>
      <c r="X89" s="91"/>
      <c r="Y89" s="91"/>
      <c r="Z89" s="91"/>
      <c r="AA89" s="91"/>
      <c r="AB89" s="91"/>
      <c r="AC89" s="91"/>
      <c r="AD89" s="91"/>
      <c r="AE89" s="91"/>
      <c r="AF89" s="91"/>
      <c r="AG89" s="91"/>
      <c r="AH89" s="91"/>
      <c r="AI89" s="91"/>
      <c r="AJ89" s="91"/>
      <c r="AK89" s="91"/>
      <c r="AL89" s="91"/>
      <c r="AM89" s="91"/>
      <c r="AS89"/>
    </row>
    <row r="90" spans="2:45" ht="17.100000000000001" customHeight="1" thickBot="1">
      <c r="B90" s="91"/>
      <c r="C90" s="91"/>
      <c r="D90" s="91" t="s">
        <v>498</v>
      </c>
      <c r="E90" s="91"/>
      <c r="F90" s="91"/>
      <c r="G90" s="91"/>
      <c r="H90" s="290" t="s">
        <v>729</v>
      </c>
      <c r="I90" s="291"/>
      <c r="J90" s="291"/>
      <c r="K90" s="291"/>
      <c r="L90" s="291"/>
      <c r="M90" s="291"/>
      <c r="N90" s="291"/>
      <c r="O90" s="291"/>
      <c r="P90" s="291"/>
      <c r="Q90" s="291"/>
      <c r="R90" s="291"/>
      <c r="S90" s="291"/>
      <c r="T90" s="292"/>
      <c r="U90" s="91"/>
      <c r="V90" s="91"/>
      <c r="W90" s="91"/>
      <c r="X90" s="91"/>
      <c r="Y90" s="91"/>
      <c r="Z90" s="91"/>
      <c r="AA90" s="91"/>
      <c r="AB90" s="91"/>
      <c r="AC90" s="91"/>
      <c r="AD90" s="91"/>
      <c r="AE90" s="91"/>
      <c r="AF90" s="91"/>
      <c r="AG90" s="91"/>
      <c r="AH90" s="91"/>
      <c r="AI90" s="91"/>
      <c r="AJ90" s="91"/>
      <c r="AK90" s="91"/>
      <c r="AL90" s="91"/>
      <c r="AM90" s="91"/>
      <c r="AS90"/>
    </row>
    <row r="91" spans="2:45" ht="17.100000000000001" customHeight="1" thickBot="1">
      <c r="B91" s="91"/>
      <c r="C91" s="91"/>
      <c r="D91" s="91" t="s">
        <v>597</v>
      </c>
      <c r="E91" s="91"/>
      <c r="F91" s="91"/>
      <c r="G91" s="91"/>
      <c r="H91" s="296" t="s">
        <v>255</v>
      </c>
      <c r="I91" s="297"/>
      <c r="J91" s="298"/>
      <c r="K91" s="299"/>
      <c r="L91" s="299"/>
      <c r="M91" s="299"/>
      <c r="N91" s="299"/>
      <c r="O91" s="300"/>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S91"/>
    </row>
    <row r="92" spans="2:45" ht="17.100000000000001" customHeight="1" thickBot="1">
      <c r="B92" s="91"/>
      <c r="C92" s="91"/>
      <c r="D92" s="91"/>
      <c r="E92" s="91"/>
      <c r="F92" s="91"/>
      <c r="G92" s="91"/>
      <c r="H92" s="296" t="s">
        <v>272</v>
      </c>
      <c r="I92" s="297"/>
      <c r="J92" s="308"/>
      <c r="K92" s="309"/>
      <c r="L92" s="309"/>
      <c r="M92" s="309"/>
      <c r="N92" s="309"/>
      <c r="O92" s="310"/>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S92"/>
    </row>
    <row r="93" spans="2:45" ht="17.100000000000001" customHeight="1">
      <c r="B93" s="91"/>
      <c r="C93" s="91"/>
      <c r="D93" s="91"/>
      <c r="E93" s="91"/>
      <c r="F93" s="91"/>
      <c r="G93" s="91"/>
      <c r="H93" s="311" t="s">
        <v>482</v>
      </c>
      <c r="I93" s="312"/>
      <c r="J93" s="315"/>
      <c r="K93" s="316"/>
      <c r="L93" s="316"/>
      <c r="M93" s="316"/>
      <c r="N93" s="316"/>
      <c r="O93" s="316"/>
      <c r="P93" s="316"/>
      <c r="Q93" s="316"/>
      <c r="R93" s="316"/>
      <c r="S93" s="316"/>
      <c r="T93" s="317"/>
      <c r="U93" s="91"/>
      <c r="V93" s="91"/>
      <c r="W93" s="91"/>
      <c r="X93" s="91"/>
      <c r="Y93" s="91"/>
      <c r="Z93" s="91"/>
      <c r="AA93" s="91"/>
      <c r="AB93" s="91"/>
      <c r="AC93" s="91"/>
      <c r="AD93" s="91"/>
      <c r="AE93" s="91"/>
      <c r="AF93" s="91"/>
      <c r="AG93" s="91"/>
      <c r="AH93" s="91"/>
      <c r="AI93" s="91"/>
      <c r="AJ93" s="91"/>
      <c r="AK93" s="91"/>
      <c r="AL93" s="91"/>
      <c r="AM93" s="91"/>
      <c r="AS93"/>
    </row>
    <row r="94" spans="2:45" ht="17.100000000000001" customHeight="1" thickBot="1">
      <c r="B94" s="91"/>
      <c r="C94" s="91"/>
      <c r="D94" s="91"/>
      <c r="E94" s="91"/>
      <c r="F94" s="91"/>
      <c r="G94" s="91"/>
      <c r="H94" s="313"/>
      <c r="I94" s="314"/>
      <c r="J94" s="318"/>
      <c r="K94" s="319"/>
      <c r="L94" s="319"/>
      <c r="M94" s="319"/>
      <c r="N94" s="319"/>
      <c r="O94" s="319"/>
      <c r="P94" s="319"/>
      <c r="Q94" s="319"/>
      <c r="R94" s="319"/>
      <c r="S94" s="319"/>
      <c r="T94" s="320"/>
      <c r="U94" s="91"/>
      <c r="V94" s="91"/>
      <c r="W94" s="91"/>
      <c r="X94" s="91"/>
      <c r="Y94" s="91"/>
      <c r="Z94" s="91"/>
      <c r="AA94" s="91"/>
      <c r="AB94" s="91"/>
      <c r="AC94" s="91"/>
      <c r="AD94" s="91"/>
      <c r="AE94" s="91"/>
      <c r="AF94" s="91"/>
      <c r="AG94" s="91"/>
      <c r="AH94" s="91"/>
      <c r="AI94" s="91"/>
      <c r="AJ94" s="91"/>
      <c r="AK94" s="91"/>
      <c r="AL94" s="91"/>
      <c r="AM94" s="91"/>
      <c r="AS94"/>
    </row>
    <row r="95" spans="2:45" ht="17.100000000000001" customHeight="1" thickBot="1">
      <c r="B95" s="91"/>
      <c r="C95" s="91"/>
      <c r="D95" s="91"/>
      <c r="E95" s="91"/>
      <c r="F95" s="91"/>
      <c r="G95" s="91"/>
      <c r="H95" s="637" t="s">
        <v>484</v>
      </c>
      <c r="I95" s="638"/>
      <c r="J95" s="634"/>
      <c r="K95" s="635"/>
      <c r="L95" s="635"/>
      <c r="M95" s="635"/>
      <c r="N95" s="635"/>
      <c r="O95" s="636"/>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S95"/>
    </row>
    <row r="96" spans="2:45" ht="17.100000000000001" customHeight="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S96"/>
    </row>
    <row r="97" spans="2:45" ht="17.100000000000001" customHeight="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S97"/>
    </row>
    <row r="98" spans="2:45" ht="17.100000000000001" customHeight="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S98"/>
    </row>
    <row r="99" spans="2:45" ht="17.100000000000001" customHeight="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S99"/>
    </row>
    <row r="100" spans="2:45" ht="17.100000000000001" customHeight="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S100"/>
    </row>
    <row r="101" spans="2:45" ht="17.100000000000001" customHeight="1">
      <c r="B101" s="55" t="s">
        <v>248</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S101"/>
    </row>
    <row r="102" spans="2:45" ht="17.100000000000001" customHeight="1">
      <c r="B102" s="17"/>
      <c r="C102" s="17" t="s">
        <v>0</v>
      </c>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S102"/>
    </row>
    <row r="103" spans="2:45" ht="17.100000000000001" customHeight="1" thickBot="1">
      <c r="B103" s="17"/>
      <c r="C103" s="17"/>
      <c r="D103" s="17" t="s">
        <v>1</v>
      </c>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S103"/>
    </row>
    <row r="104" spans="2:45" ht="17.100000000000001" customHeight="1" thickBot="1">
      <c r="B104" s="17"/>
      <c r="C104" s="17"/>
      <c r="D104" s="17"/>
      <c r="E104" s="17" t="s">
        <v>27</v>
      </c>
      <c r="F104" s="17"/>
      <c r="G104" s="17"/>
      <c r="H104" s="531" t="str">
        <f>H14</f>
        <v>㈜현대공업</v>
      </c>
      <c r="I104" s="532"/>
      <c r="J104" s="532"/>
      <c r="K104" s="532"/>
      <c r="L104" s="532"/>
      <c r="M104" s="532"/>
      <c r="N104" s="532"/>
      <c r="O104" s="532"/>
      <c r="P104" s="532"/>
      <c r="Q104" s="532"/>
      <c r="R104" s="532"/>
      <c r="S104" s="532"/>
      <c r="T104" s="533"/>
      <c r="U104" s="30"/>
      <c r="V104" s="30"/>
      <c r="W104" s="30"/>
      <c r="X104" s="34"/>
      <c r="Y104" s="30"/>
      <c r="Z104" s="30"/>
      <c r="AA104" s="399"/>
      <c r="AB104" s="399"/>
      <c r="AC104" s="399"/>
      <c r="AD104" s="399"/>
      <c r="AE104" s="399"/>
      <c r="AF104" s="399"/>
      <c r="AG104" s="399"/>
      <c r="AH104" s="399"/>
      <c r="AI104" s="17"/>
      <c r="AJ104" s="30"/>
      <c r="AK104" s="30"/>
      <c r="AL104" s="17"/>
      <c r="AM104" s="17"/>
      <c r="AS104"/>
    </row>
    <row r="105" spans="2:45" ht="17.100000000000001" customHeight="1" thickBot="1">
      <c r="B105" s="17"/>
      <c r="C105" s="17"/>
      <c r="D105" s="17"/>
      <c r="E105" s="17" t="s">
        <v>2</v>
      </c>
      <c r="F105" s="17"/>
      <c r="G105" s="17"/>
      <c r="H105" s="534">
        <v>1978</v>
      </c>
      <c r="I105" s="535"/>
      <c r="J105" s="29" t="s">
        <v>61</v>
      </c>
      <c r="K105" s="180">
        <v>10</v>
      </c>
      <c r="L105" s="29" t="s">
        <v>61</v>
      </c>
      <c r="M105" s="180">
        <v>1</v>
      </c>
      <c r="N105" s="30"/>
      <c r="O105" s="30"/>
      <c r="P105" s="536"/>
      <c r="Q105" s="536"/>
      <c r="R105" s="29"/>
      <c r="S105" s="30"/>
      <c r="T105" s="29"/>
      <c r="U105" s="30"/>
      <c r="V105" s="30"/>
      <c r="W105" s="17"/>
      <c r="X105" s="17"/>
      <c r="Y105" s="17"/>
      <c r="Z105" s="17"/>
      <c r="AA105" s="654"/>
      <c r="AB105" s="654"/>
      <c r="AC105" s="654"/>
      <c r="AD105" s="654"/>
      <c r="AE105" s="654"/>
      <c r="AF105" s="654"/>
      <c r="AG105" s="654"/>
      <c r="AH105" s="654"/>
      <c r="AI105" s="17"/>
      <c r="AJ105" s="17"/>
      <c r="AK105" s="17"/>
      <c r="AL105" s="17"/>
      <c r="AM105" s="17"/>
      <c r="AS105"/>
    </row>
    <row r="106" spans="2:45" ht="17.100000000000001" customHeight="1" thickBot="1">
      <c r="B106" s="17"/>
      <c r="C106" s="17"/>
      <c r="D106" s="17"/>
      <c r="E106" s="17" t="s">
        <v>3</v>
      </c>
      <c r="F106" s="17"/>
      <c r="G106" s="17"/>
      <c r="H106" s="651" t="s">
        <v>685</v>
      </c>
      <c r="I106" s="652"/>
      <c r="J106" s="652"/>
      <c r="K106" s="652"/>
      <c r="L106" s="652"/>
      <c r="M106" s="652"/>
      <c r="N106" s="652"/>
      <c r="O106" s="652"/>
      <c r="P106" s="652"/>
      <c r="Q106" s="652"/>
      <c r="R106" s="652"/>
      <c r="S106" s="652"/>
      <c r="T106" s="652"/>
      <c r="U106" s="653"/>
      <c r="V106" s="31"/>
      <c r="W106" s="31"/>
      <c r="X106" s="17"/>
      <c r="Y106" s="17"/>
      <c r="Z106" s="17"/>
      <c r="AA106" s="562"/>
      <c r="AB106" s="562"/>
      <c r="AC106" s="562"/>
      <c r="AD106" s="562"/>
      <c r="AE106" s="562"/>
      <c r="AF106" s="562"/>
      <c r="AG106" s="562"/>
      <c r="AH106" s="562"/>
      <c r="AI106" s="32"/>
      <c r="AJ106" s="32"/>
      <c r="AK106" s="32"/>
      <c r="AL106" s="17"/>
      <c r="AM106" s="17"/>
      <c r="AS106"/>
    </row>
    <row r="107" spans="2:45" ht="17.100000000000001" customHeight="1">
      <c r="B107" s="17"/>
      <c r="C107" s="17"/>
      <c r="D107" s="17"/>
      <c r="E107" s="17" t="s">
        <v>4</v>
      </c>
      <c r="F107" s="17"/>
      <c r="G107" s="17"/>
      <c r="H107" s="397" t="s">
        <v>682</v>
      </c>
      <c r="I107" s="389"/>
      <c r="J107" s="389"/>
      <c r="K107" s="389"/>
      <c r="L107" s="389"/>
      <c r="M107" s="389"/>
      <c r="N107" s="389"/>
      <c r="O107" s="389"/>
      <c r="P107" s="389"/>
      <c r="Q107" s="389"/>
      <c r="R107" s="389"/>
      <c r="S107" s="389"/>
      <c r="T107" s="389"/>
      <c r="U107" s="390"/>
      <c r="V107" s="33"/>
      <c r="W107" s="33"/>
      <c r="X107" s="86"/>
      <c r="Y107" s="87"/>
      <c r="Z107" s="31"/>
      <c r="AA107" s="564"/>
      <c r="AB107" s="564"/>
      <c r="AC107" s="565"/>
      <c r="AD107" s="565"/>
      <c r="AE107" s="565"/>
      <c r="AF107" s="565"/>
      <c r="AG107" s="565"/>
      <c r="AH107" s="565"/>
      <c r="AI107" s="33"/>
      <c r="AJ107" s="33"/>
      <c r="AK107" s="33"/>
      <c r="AL107" s="17"/>
      <c r="AM107" s="17"/>
      <c r="AS107"/>
    </row>
    <row r="108" spans="2:45" ht="17.100000000000001" customHeight="1">
      <c r="B108" s="17"/>
      <c r="C108" s="17"/>
      <c r="D108" s="17"/>
      <c r="E108" s="17"/>
      <c r="F108" s="17"/>
      <c r="G108" s="17"/>
      <c r="H108" s="391"/>
      <c r="I108" s="392"/>
      <c r="J108" s="392"/>
      <c r="K108" s="392"/>
      <c r="L108" s="392"/>
      <c r="M108" s="392"/>
      <c r="N108" s="392"/>
      <c r="O108" s="392"/>
      <c r="P108" s="392"/>
      <c r="Q108" s="392"/>
      <c r="R108" s="392"/>
      <c r="S108" s="392"/>
      <c r="T108" s="392"/>
      <c r="U108" s="393"/>
      <c r="V108" s="33"/>
      <c r="W108" s="33"/>
      <c r="X108" s="563"/>
      <c r="Y108" s="563"/>
      <c r="Z108" s="563"/>
      <c r="AA108" s="564"/>
      <c r="AB108" s="564"/>
      <c r="AC108" s="565"/>
      <c r="AD108" s="565"/>
      <c r="AE108" s="565"/>
      <c r="AF108" s="565"/>
      <c r="AG108" s="565"/>
      <c r="AH108" s="565"/>
      <c r="AI108" s="33"/>
      <c r="AJ108" s="33"/>
      <c r="AK108" s="33"/>
      <c r="AL108" s="17"/>
      <c r="AM108" s="17"/>
      <c r="AS108"/>
    </row>
    <row r="109" spans="2:45" ht="17.100000000000001" customHeight="1">
      <c r="B109" s="17"/>
      <c r="C109" s="17"/>
      <c r="D109" s="17"/>
      <c r="E109" s="17"/>
      <c r="F109" s="17"/>
      <c r="G109" s="17"/>
      <c r="H109" s="391"/>
      <c r="I109" s="392"/>
      <c r="J109" s="392"/>
      <c r="K109" s="392"/>
      <c r="L109" s="392"/>
      <c r="M109" s="392"/>
      <c r="N109" s="392"/>
      <c r="O109" s="392"/>
      <c r="P109" s="392"/>
      <c r="Q109" s="392"/>
      <c r="R109" s="392"/>
      <c r="S109" s="392"/>
      <c r="T109" s="392"/>
      <c r="U109" s="393"/>
      <c r="V109" s="33"/>
      <c r="W109" s="33"/>
      <c r="X109" s="563"/>
      <c r="Y109" s="563"/>
      <c r="Z109" s="563"/>
      <c r="AA109" s="364"/>
      <c r="AB109" s="364"/>
      <c r="AC109" s="400"/>
      <c r="AD109" s="400"/>
      <c r="AE109" s="400"/>
      <c r="AF109" s="400"/>
      <c r="AG109" s="400"/>
      <c r="AH109" s="400"/>
      <c r="AI109" s="400"/>
      <c r="AJ109" s="400"/>
      <c r="AK109" s="400"/>
      <c r="AL109" s="400"/>
      <c r="AM109" s="17"/>
      <c r="AS109"/>
    </row>
    <row r="110" spans="2:45" ht="17.100000000000001" customHeight="1">
      <c r="B110" s="17"/>
      <c r="C110" s="17"/>
      <c r="D110" s="17"/>
      <c r="E110" s="17"/>
      <c r="F110" s="17"/>
      <c r="G110" s="17"/>
      <c r="H110" s="391"/>
      <c r="I110" s="392"/>
      <c r="J110" s="392"/>
      <c r="K110" s="392"/>
      <c r="L110" s="392"/>
      <c r="M110" s="392"/>
      <c r="N110" s="392"/>
      <c r="O110" s="392"/>
      <c r="P110" s="392"/>
      <c r="Q110" s="392"/>
      <c r="R110" s="392"/>
      <c r="S110" s="392"/>
      <c r="T110" s="392"/>
      <c r="U110" s="393"/>
      <c r="V110" s="33"/>
      <c r="W110" s="33"/>
      <c r="X110" s="563"/>
      <c r="Y110" s="563"/>
      <c r="Z110" s="563"/>
      <c r="AA110" s="364"/>
      <c r="AB110" s="364"/>
      <c r="AC110" s="400"/>
      <c r="AD110" s="400"/>
      <c r="AE110" s="400"/>
      <c r="AF110" s="400"/>
      <c r="AG110" s="400"/>
      <c r="AH110" s="400"/>
      <c r="AI110" s="400"/>
      <c r="AJ110" s="400"/>
      <c r="AK110" s="400"/>
      <c r="AL110" s="400"/>
      <c r="AM110" s="17"/>
      <c r="AS110"/>
    </row>
    <row r="111" spans="2:45" ht="17.100000000000001" customHeight="1">
      <c r="B111" s="17"/>
      <c r="C111" s="17"/>
      <c r="D111" s="17"/>
      <c r="E111" s="17"/>
      <c r="F111" s="17"/>
      <c r="G111" s="17"/>
      <c r="H111" s="391"/>
      <c r="I111" s="392"/>
      <c r="J111" s="392"/>
      <c r="K111" s="392"/>
      <c r="L111" s="392"/>
      <c r="M111" s="392"/>
      <c r="N111" s="392"/>
      <c r="O111" s="392"/>
      <c r="P111" s="392"/>
      <c r="Q111" s="392"/>
      <c r="R111" s="392"/>
      <c r="S111" s="392"/>
      <c r="T111" s="392"/>
      <c r="U111" s="393"/>
      <c r="V111" s="33"/>
      <c r="W111" s="33"/>
      <c r="X111" s="89"/>
      <c r="Y111" s="89"/>
      <c r="Z111" s="89"/>
      <c r="AA111" s="560"/>
      <c r="AB111" s="560"/>
      <c r="AC111" s="561"/>
      <c r="AD111" s="561"/>
      <c r="AE111" s="561"/>
      <c r="AF111" s="561"/>
      <c r="AG111" s="561"/>
      <c r="AH111" s="561"/>
      <c r="AI111" s="89"/>
      <c r="AJ111" s="90"/>
      <c r="AK111" s="89"/>
      <c r="AL111" s="89"/>
      <c r="AM111" s="17"/>
      <c r="AS111"/>
    </row>
    <row r="112" spans="2:45" ht="17.100000000000001" customHeight="1">
      <c r="B112" s="17"/>
      <c r="C112" s="17"/>
      <c r="D112" s="17"/>
      <c r="E112" s="17"/>
      <c r="F112" s="17"/>
      <c r="G112" s="17"/>
      <c r="H112" s="391"/>
      <c r="I112" s="392"/>
      <c r="J112" s="392"/>
      <c r="K112" s="392"/>
      <c r="L112" s="392"/>
      <c r="M112" s="392"/>
      <c r="N112" s="392"/>
      <c r="O112" s="392"/>
      <c r="P112" s="392"/>
      <c r="Q112" s="392"/>
      <c r="R112" s="392"/>
      <c r="S112" s="392"/>
      <c r="T112" s="392"/>
      <c r="U112" s="393"/>
      <c r="V112" s="33"/>
      <c r="W112" s="33"/>
      <c r="X112" s="32"/>
      <c r="Y112" s="33"/>
      <c r="Z112" s="33"/>
      <c r="AA112" s="400"/>
      <c r="AB112" s="400"/>
      <c r="AC112" s="400"/>
      <c r="AD112" s="400"/>
      <c r="AE112" s="400"/>
      <c r="AF112" s="400"/>
      <c r="AG112" s="400"/>
      <c r="AH112" s="400"/>
      <c r="AI112" s="89"/>
      <c r="AJ112" s="89"/>
      <c r="AK112" s="89"/>
      <c r="AL112" s="89"/>
      <c r="AM112" s="17"/>
      <c r="AS112"/>
    </row>
    <row r="113" spans="2:49" ht="17.100000000000001" customHeight="1">
      <c r="B113" s="17"/>
      <c r="C113" s="17"/>
      <c r="D113" s="17"/>
      <c r="E113" s="17"/>
      <c r="F113" s="17"/>
      <c r="G113" s="17"/>
      <c r="H113" s="391"/>
      <c r="I113" s="392"/>
      <c r="J113" s="392"/>
      <c r="K113" s="392"/>
      <c r="L113" s="392"/>
      <c r="M113" s="392"/>
      <c r="N113" s="392"/>
      <c r="O113" s="392"/>
      <c r="P113" s="392"/>
      <c r="Q113" s="392"/>
      <c r="R113" s="392"/>
      <c r="S113" s="392"/>
      <c r="T113" s="392"/>
      <c r="U113" s="393"/>
      <c r="V113" s="33"/>
      <c r="W113" s="33"/>
      <c r="X113" s="32"/>
      <c r="Y113" s="33"/>
      <c r="Z113" s="33"/>
      <c r="AA113" s="401"/>
      <c r="AB113" s="401"/>
      <c r="AC113" s="401"/>
      <c r="AD113" s="401"/>
      <c r="AE113" s="401"/>
      <c r="AF113" s="401"/>
      <c r="AG113" s="401"/>
      <c r="AH113" s="401"/>
      <c r="AI113" s="89"/>
      <c r="AJ113" s="89"/>
      <c r="AK113" s="89"/>
      <c r="AL113" s="89"/>
      <c r="AM113" s="17"/>
      <c r="AS113"/>
    </row>
    <row r="114" spans="2:49" ht="17.100000000000001" customHeight="1">
      <c r="B114" s="17"/>
      <c r="C114" s="17"/>
      <c r="D114" s="17"/>
      <c r="E114" s="17"/>
      <c r="F114" s="17"/>
      <c r="G114" s="17"/>
      <c r="H114" s="391"/>
      <c r="I114" s="392"/>
      <c r="J114" s="392"/>
      <c r="K114" s="392"/>
      <c r="L114" s="392"/>
      <c r="M114" s="392"/>
      <c r="N114" s="392"/>
      <c r="O114" s="392"/>
      <c r="P114" s="392"/>
      <c r="Q114" s="392"/>
      <c r="R114" s="392"/>
      <c r="S114" s="392"/>
      <c r="T114" s="392"/>
      <c r="U114" s="393"/>
      <c r="V114" s="33"/>
      <c r="W114" s="33"/>
      <c r="X114" s="32"/>
      <c r="Y114" s="33"/>
      <c r="Z114" s="33"/>
      <c r="AA114" s="401"/>
      <c r="AB114" s="401"/>
      <c r="AC114" s="401"/>
      <c r="AD114" s="401"/>
      <c r="AE114" s="401"/>
      <c r="AF114" s="401"/>
      <c r="AG114" s="401"/>
      <c r="AH114" s="401"/>
      <c r="AI114" s="33"/>
      <c r="AJ114" s="33"/>
      <c r="AK114" s="33"/>
      <c r="AL114" s="17"/>
      <c r="AM114" s="17"/>
      <c r="AS114"/>
    </row>
    <row r="115" spans="2:49" ht="17.100000000000001" customHeight="1">
      <c r="B115" s="17"/>
      <c r="C115" s="17"/>
      <c r="D115" s="17"/>
      <c r="E115" s="17"/>
      <c r="F115" s="17"/>
      <c r="G115" s="17"/>
      <c r="H115" s="391"/>
      <c r="I115" s="392"/>
      <c r="J115" s="392"/>
      <c r="K115" s="392"/>
      <c r="L115" s="392"/>
      <c r="M115" s="392"/>
      <c r="N115" s="392"/>
      <c r="O115" s="392"/>
      <c r="P115" s="392"/>
      <c r="Q115" s="392"/>
      <c r="R115" s="392"/>
      <c r="S115" s="392"/>
      <c r="T115" s="392"/>
      <c r="U115" s="393"/>
      <c r="V115" s="33"/>
      <c r="W115" s="33"/>
      <c r="X115" s="32"/>
      <c r="Y115" s="33"/>
      <c r="Z115" s="33"/>
      <c r="AA115" s="568"/>
      <c r="AB115" s="568"/>
      <c r="AC115" s="568"/>
      <c r="AD115" s="568"/>
      <c r="AE115" s="568"/>
      <c r="AF115" s="568"/>
      <c r="AG115" s="568"/>
      <c r="AH115" s="568"/>
      <c r="AI115" s="33"/>
      <c r="AJ115" s="33"/>
      <c r="AK115" s="33"/>
      <c r="AL115" s="17"/>
      <c r="AM115" s="17"/>
      <c r="AS115"/>
    </row>
    <row r="116" spans="2:49" ht="17.100000000000001" customHeight="1">
      <c r="B116" s="17"/>
      <c r="C116" s="17"/>
      <c r="D116" s="17"/>
      <c r="E116" s="17"/>
      <c r="F116" s="17"/>
      <c r="G116" s="17"/>
      <c r="H116" s="391"/>
      <c r="I116" s="392"/>
      <c r="J116" s="392"/>
      <c r="K116" s="392"/>
      <c r="L116" s="392"/>
      <c r="M116" s="392"/>
      <c r="N116" s="392"/>
      <c r="O116" s="392"/>
      <c r="P116" s="392"/>
      <c r="Q116" s="392"/>
      <c r="R116" s="392"/>
      <c r="S116" s="392"/>
      <c r="T116" s="392"/>
      <c r="U116" s="393"/>
      <c r="V116" s="33"/>
      <c r="W116" s="33"/>
      <c r="X116" s="17"/>
      <c r="Y116" s="17"/>
      <c r="Z116" s="17"/>
      <c r="AA116" s="17"/>
      <c r="AB116" s="17"/>
      <c r="AC116" s="17"/>
      <c r="AD116" s="17"/>
      <c r="AE116" s="17"/>
      <c r="AF116" s="17"/>
      <c r="AG116" s="17"/>
      <c r="AH116" s="17"/>
      <c r="AI116" s="33"/>
      <c r="AJ116" s="33"/>
      <c r="AK116" s="33"/>
      <c r="AL116" s="17"/>
      <c r="AM116" s="17"/>
      <c r="AS116"/>
    </row>
    <row r="117" spans="2:49" ht="17.100000000000001" customHeight="1">
      <c r="B117" s="17"/>
      <c r="C117" s="17"/>
      <c r="D117" s="17"/>
      <c r="E117" s="17"/>
      <c r="F117" s="17"/>
      <c r="G117" s="17"/>
      <c r="H117" s="391"/>
      <c r="I117" s="392"/>
      <c r="J117" s="392"/>
      <c r="K117" s="392"/>
      <c r="L117" s="392"/>
      <c r="M117" s="392"/>
      <c r="N117" s="392"/>
      <c r="O117" s="392"/>
      <c r="P117" s="392"/>
      <c r="Q117" s="392"/>
      <c r="R117" s="392"/>
      <c r="S117" s="392"/>
      <c r="T117" s="392"/>
      <c r="U117" s="393"/>
      <c r="V117" s="33"/>
      <c r="W117" s="33"/>
      <c r="X117" s="17"/>
      <c r="Y117" s="17"/>
      <c r="Z117" s="17"/>
      <c r="AA117" s="17"/>
      <c r="AB117" s="17"/>
      <c r="AC117" s="17"/>
      <c r="AD117" s="17"/>
      <c r="AE117" s="17"/>
      <c r="AF117" s="17"/>
      <c r="AG117" s="17"/>
      <c r="AH117" s="17"/>
      <c r="AI117" s="32"/>
      <c r="AJ117" s="32"/>
      <c r="AK117" s="32"/>
      <c r="AL117" s="17"/>
      <c r="AM117" s="17"/>
      <c r="AS117"/>
    </row>
    <row r="118" spans="2:49" ht="17.100000000000001" customHeight="1">
      <c r="B118" s="17"/>
      <c r="C118" s="17"/>
      <c r="D118" s="17"/>
      <c r="E118" s="17"/>
      <c r="F118" s="17"/>
      <c r="G118" s="17"/>
      <c r="H118" s="391"/>
      <c r="I118" s="392"/>
      <c r="J118" s="392"/>
      <c r="K118" s="392"/>
      <c r="L118" s="392"/>
      <c r="M118" s="392"/>
      <c r="N118" s="392"/>
      <c r="O118" s="392"/>
      <c r="P118" s="392"/>
      <c r="Q118" s="392"/>
      <c r="R118" s="392"/>
      <c r="S118" s="392"/>
      <c r="T118" s="392"/>
      <c r="U118" s="393"/>
      <c r="V118" s="33"/>
      <c r="W118" s="33"/>
      <c r="X118" s="17"/>
      <c r="Y118" s="17"/>
      <c r="Z118" s="17"/>
      <c r="AA118" s="562"/>
      <c r="AB118" s="562"/>
      <c r="AC118" s="562"/>
      <c r="AD118" s="562"/>
      <c r="AE118" s="562"/>
      <c r="AF118" s="562"/>
      <c r="AG118" s="562"/>
      <c r="AH118" s="562"/>
      <c r="AI118" s="32"/>
      <c r="AJ118" s="32"/>
      <c r="AK118" s="32"/>
      <c r="AL118" s="17"/>
      <c r="AM118" s="17"/>
      <c r="AO118" s="65"/>
      <c r="AP118" s="65"/>
      <c r="AQ118" s="65"/>
      <c r="AR118" s="65"/>
      <c r="AS118" s="65"/>
      <c r="AT118" s="65"/>
      <c r="AU118" s="65"/>
      <c r="AV118" s="65"/>
      <c r="AW118" s="65"/>
    </row>
    <row r="119" spans="2:49" ht="17.100000000000001" customHeight="1">
      <c r="B119" s="17"/>
      <c r="C119" s="17"/>
      <c r="D119" s="17"/>
      <c r="E119" s="17"/>
      <c r="F119" s="17"/>
      <c r="G119" s="17"/>
      <c r="H119" s="391"/>
      <c r="I119" s="392"/>
      <c r="J119" s="392"/>
      <c r="K119" s="392"/>
      <c r="L119" s="392"/>
      <c r="M119" s="392"/>
      <c r="N119" s="392"/>
      <c r="O119" s="392"/>
      <c r="P119" s="392"/>
      <c r="Q119" s="392"/>
      <c r="R119" s="392"/>
      <c r="S119" s="392"/>
      <c r="T119" s="392"/>
      <c r="U119" s="393"/>
      <c r="V119" s="33"/>
      <c r="W119" s="33"/>
      <c r="X119" s="32"/>
      <c r="Y119" s="32"/>
      <c r="Z119" s="32"/>
      <c r="AA119" s="400"/>
      <c r="AB119" s="400"/>
      <c r="AC119" s="400"/>
      <c r="AD119" s="400"/>
      <c r="AE119" s="400"/>
      <c r="AF119" s="400"/>
      <c r="AG119" s="400"/>
      <c r="AH119" s="400"/>
      <c r="AI119" s="32"/>
      <c r="AJ119" s="32"/>
      <c r="AK119" s="32"/>
      <c r="AL119" s="17"/>
      <c r="AM119" s="17"/>
      <c r="AO119" s="65"/>
      <c r="AP119" s="65"/>
      <c r="AQ119" s="65"/>
      <c r="AR119" s="65"/>
      <c r="AS119" s="65"/>
      <c r="AT119" s="65"/>
      <c r="AU119" s="65"/>
      <c r="AV119" s="65"/>
      <c r="AW119" s="65"/>
    </row>
    <row r="120" spans="2:49" ht="17.100000000000001" customHeight="1">
      <c r="B120" s="17"/>
      <c r="C120" s="17"/>
      <c r="D120" s="17"/>
      <c r="E120" s="17"/>
      <c r="F120" s="17"/>
      <c r="G120" s="17"/>
      <c r="H120" s="391"/>
      <c r="I120" s="392"/>
      <c r="J120" s="392"/>
      <c r="K120" s="392"/>
      <c r="L120" s="392"/>
      <c r="M120" s="392"/>
      <c r="N120" s="392"/>
      <c r="O120" s="392"/>
      <c r="P120" s="392"/>
      <c r="Q120" s="392"/>
      <c r="R120" s="392"/>
      <c r="S120" s="392"/>
      <c r="T120" s="392"/>
      <c r="U120" s="393"/>
      <c r="V120" s="33"/>
      <c r="W120" s="33"/>
      <c r="X120" s="34"/>
      <c r="Y120" s="30"/>
      <c r="Z120" s="30"/>
      <c r="AA120" s="399"/>
      <c r="AB120" s="399"/>
      <c r="AC120" s="399"/>
      <c r="AD120" s="399"/>
      <c r="AE120" s="399"/>
      <c r="AF120" s="399"/>
      <c r="AG120" s="399"/>
      <c r="AH120" s="399"/>
      <c r="AI120" s="32"/>
      <c r="AJ120" s="32"/>
      <c r="AK120" s="32"/>
      <c r="AL120" s="17"/>
      <c r="AM120" s="17"/>
      <c r="AO120" s="65"/>
      <c r="AP120" s="65"/>
      <c r="AQ120" s="65"/>
      <c r="AR120" s="65"/>
      <c r="AS120" s="65"/>
      <c r="AT120" s="65"/>
      <c r="AU120" s="65"/>
      <c r="AV120" s="65"/>
      <c r="AW120" s="65"/>
    </row>
    <row r="121" spans="2:49" ht="17.100000000000001" customHeight="1">
      <c r="B121" s="17"/>
      <c r="C121" s="17"/>
      <c r="D121" s="17"/>
      <c r="E121" s="17"/>
      <c r="F121" s="17"/>
      <c r="G121" s="17"/>
      <c r="H121" s="391"/>
      <c r="I121" s="392"/>
      <c r="J121" s="392"/>
      <c r="K121" s="392"/>
      <c r="L121" s="392"/>
      <c r="M121" s="392"/>
      <c r="N121" s="392"/>
      <c r="O121" s="392"/>
      <c r="P121" s="392"/>
      <c r="Q121" s="392"/>
      <c r="R121" s="392"/>
      <c r="S121" s="392"/>
      <c r="T121" s="392"/>
      <c r="U121" s="393"/>
      <c r="V121" s="33"/>
      <c r="W121" s="33"/>
      <c r="X121" s="32"/>
      <c r="Y121" s="32"/>
      <c r="Z121" s="32"/>
      <c r="AA121" s="400"/>
      <c r="AB121" s="400"/>
      <c r="AC121" s="400"/>
      <c r="AD121" s="400"/>
      <c r="AE121" s="400"/>
      <c r="AF121" s="400"/>
      <c r="AG121" s="400"/>
      <c r="AH121" s="400"/>
      <c r="AI121" s="32"/>
      <c r="AJ121" s="32"/>
      <c r="AK121" s="32"/>
      <c r="AL121" s="17"/>
      <c r="AM121" s="17"/>
      <c r="AO121" s="65"/>
      <c r="AP121" s="65"/>
      <c r="AQ121" s="65"/>
      <c r="AR121" s="65"/>
      <c r="AS121" s="65"/>
      <c r="AT121" s="65"/>
      <c r="AU121" s="65"/>
      <c r="AV121" s="65"/>
      <c r="AW121" s="65"/>
    </row>
    <row r="122" spans="2:49" ht="17.100000000000001" customHeight="1" thickBot="1">
      <c r="B122" s="17"/>
      <c r="C122" s="17"/>
      <c r="D122" s="17"/>
      <c r="E122" s="17"/>
      <c r="F122" s="17"/>
      <c r="G122" s="17"/>
      <c r="H122" s="394"/>
      <c r="I122" s="395"/>
      <c r="J122" s="395"/>
      <c r="K122" s="395"/>
      <c r="L122" s="395"/>
      <c r="M122" s="395"/>
      <c r="N122" s="395"/>
      <c r="O122" s="395"/>
      <c r="P122" s="395"/>
      <c r="Q122" s="395"/>
      <c r="R122" s="395"/>
      <c r="S122" s="395"/>
      <c r="T122" s="395"/>
      <c r="U122" s="396"/>
      <c r="V122" s="33"/>
      <c r="W122" s="33"/>
      <c r="X122" s="32"/>
      <c r="Y122" s="33"/>
      <c r="Z122" s="33"/>
      <c r="AA122" s="400"/>
      <c r="AB122" s="400"/>
      <c r="AC122" s="400"/>
      <c r="AD122" s="400"/>
      <c r="AE122" s="400"/>
      <c r="AF122" s="400"/>
      <c r="AG122" s="400"/>
      <c r="AH122" s="400"/>
      <c r="AI122" s="32"/>
      <c r="AJ122" s="32"/>
      <c r="AK122" s="32"/>
      <c r="AL122" s="17"/>
      <c r="AM122" s="17"/>
      <c r="AO122" s="65"/>
      <c r="AP122" s="65"/>
      <c r="AQ122" s="65"/>
      <c r="AR122" s="65"/>
      <c r="AS122" s="65"/>
      <c r="AT122" s="65"/>
      <c r="AU122" s="65"/>
      <c r="AV122" s="65"/>
      <c r="AW122" s="65"/>
    </row>
    <row r="123" spans="2:49" ht="17.100000000000001" customHeight="1" thickBot="1">
      <c r="B123" s="17"/>
      <c r="C123" s="17"/>
      <c r="D123" s="17"/>
      <c r="E123" s="17" t="s">
        <v>5</v>
      </c>
      <c r="F123" s="17"/>
      <c r="G123" s="17"/>
      <c r="H123" s="17"/>
      <c r="I123" s="17"/>
      <c r="J123" s="17"/>
      <c r="K123" s="17"/>
      <c r="L123" s="17"/>
      <c r="M123" s="17"/>
      <c r="N123" s="17"/>
      <c r="O123" s="17"/>
      <c r="P123" s="17"/>
      <c r="Q123" s="17"/>
      <c r="R123" s="17"/>
      <c r="S123" s="17"/>
      <c r="T123" s="17"/>
      <c r="U123" s="17"/>
      <c r="V123" s="17"/>
      <c r="W123" s="17"/>
      <c r="X123" s="32"/>
      <c r="Y123" s="33"/>
      <c r="Z123" s="33"/>
      <c r="AA123" s="401"/>
      <c r="AB123" s="401"/>
      <c r="AC123" s="401"/>
      <c r="AD123" s="401"/>
      <c r="AE123" s="401"/>
      <c r="AF123" s="401"/>
      <c r="AG123" s="401"/>
      <c r="AH123" s="401"/>
      <c r="AI123" s="17"/>
      <c r="AJ123" s="17"/>
      <c r="AK123" s="17"/>
      <c r="AL123" s="17"/>
      <c r="AM123" s="17"/>
      <c r="AO123" s="65"/>
      <c r="AP123" s="65"/>
      <c r="AQ123" s="65"/>
      <c r="AR123" s="65"/>
      <c r="AS123" s="65"/>
      <c r="AT123" s="65"/>
      <c r="AU123" s="65"/>
      <c r="AV123" s="65"/>
      <c r="AW123" s="65"/>
    </row>
    <row r="124" spans="2:49" ht="17.100000000000001" customHeight="1" thickBot="1">
      <c r="B124" s="17"/>
      <c r="C124" s="17"/>
      <c r="D124" s="17"/>
      <c r="E124" s="17" t="s">
        <v>6</v>
      </c>
      <c r="F124" s="17"/>
      <c r="G124" s="17"/>
      <c r="H124" s="657" t="str">
        <f>H61</f>
        <v>강현석, 백상열</v>
      </c>
      <c r="I124" s="658"/>
      <c r="J124" s="658"/>
      <c r="K124" s="658"/>
      <c r="L124" s="658"/>
      <c r="M124" s="658"/>
      <c r="N124" s="658"/>
      <c r="O124" s="658"/>
      <c r="P124" s="658"/>
      <c r="Q124" s="658"/>
      <c r="R124" s="658"/>
      <c r="S124" s="658"/>
      <c r="T124" s="659"/>
      <c r="U124" s="30"/>
      <c r="V124" s="30"/>
      <c r="W124" s="30"/>
      <c r="X124" s="30"/>
      <c r="Y124" s="30"/>
      <c r="Z124" s="30"/>
      <c r="AA124" s="30"/>
      <c r="AB124" s="30"/>
      <c r="AC124" s="30"/>
      <c r="AD124" s="30"/>
      <c r="AE124" s="30"/>
      <c r="AF124" s="30"/>
      <c r="AG124" s="30"/>
      <c r="AH124" s="30"/>
      <c r="AI124" s="30"/>
      <c r="AJ124" s="30"/>
      <c r="AK124" s="30"/>
      <c r="AL124" s="17"/>
      <c r="AM124" s="17"/>
      <c r="AO124" s="65"/>
      <c r="AP124" s="65"/>
      <c r="AQ124" s="65"/>
      <c r="AR124" s="65"/>
      <c r="AS124" s="65"/>
      <c r="AT124" s="65"/>
      <c r="AU124" s="65"/>
      <c r="AV124" s="65"/>
      <c r="AW124" s="65"/>
    </row>
    <row r="125" spans="2:49" ht="17.100000000000001" customHeight="1" thickBot="1">
      <c r="B125" s="17"/>
      <c r="C125" s="17"/>
      <c r="D125" s="17"/>
      <c r="E125" s="17" t="s">
        <v>7</v>
      </c>
      <c r="F125" s="17"/>
      <c r="G125" s="17"/>
      <c r="H125" s="298">
        <v>164</v>
      </c>
      <c r="I125" s="299"/>
      <c r="J125" s="299"/>
      <c r="K125" s="299"/>
      <c r="L125" s="299"/>
      <c r="M125" s="299"/>
      <c r="N125" s="299"/>
      <c r="O125" s="299"/>
      <c r="P125" s="299"/>
      <c r="Q125" s="299"/>
      <c r="R125" s="299"/>
      <c r="S125" s="299"/>
      <c r="T125" s="300"/>
      <c r="U125" s="34" t="s">
        <v>177</v>
      </c>
      <c r="V125" s="17"/>
      <c r="W125" s="30"/>
      <c r="X125" s="30"/>
      <c r="Y125" s="30"/>
      <c r="Z125" s="30"/>
      <c r="AA125" s="30"/>
      <c r="AB125" s="30"/>
      <c r="AC125" s="30"/>
      <c r="AD125" s="30"/>
      <c r="AE125" s="30"/>
      <c r="AF125" s="30"/>
      <c r="AG125" s="30"/>
      <c r="AH125" s="30"/>
      <c r="AI125" s="30"/>
      <c r="AJ125" s="30"/>
      <c r="AK125" s="30"/>
      <c r="AL125" s="17"/>
      <c r="AM125" s="17"/>
      <c r="AO125" s="65"/>
      <c r="AP125" s="65"/>
      <c r="AQ125" s="65"/>
      <c r="AR125" s="65"/>
      <c r="AS125" s="65"/>
      <c r="AT125" s="65"/>
      <c r="AU125" s="65"/>
      <c r="AV125" s="65"/>
      <c r="AW125" s="65"/>
    </row>
    <row r="126" spans="2:49" ht="17.100000000000001" customHeight="1" thickBot="1">
      <c r="B126" s="17"/>
      <c r="C126" s="17"/>
      <c r="D126" s="17"/>
      <c r="E126" s="17" t="s">
        <v>8</v>
      </c>
      <c r="F126" s="17"/>
      <c r="G126" s="17"/>
      <c r="H126" s="651" t="s">
        <v>683</v>
      </c>
      <c r="I126" s="652"/>
      <c r="J126" s="652"/>
      <c r="K126" s="652"/>
      <c r="L126" s="652"/>
      <c r="M126" s="652"/>
      <c r="N126" s="652"/>
      <c r="O126" s="652"/>
      <c r="P126" s="652"/>
      <c r="Q126" s="652"/>
      <c r="R126" s="652"/>
      <c r="S126" s="652"/>
      <c r="T126" s="653"/>
      <c r="U126" s="17"/>
      <c r="V126" s="17"/>
      <c r="W126" s="17"/>
      <c r="X126" s="17"/>
      <c r="Y126" s="17"/>
      <c r="Z126" s="17"/>
      <c r="AA126" s="17"/>
      <c r="AB126" s="17"/>
      <c r="AC126" s="17"/>
      <c r="AD126" s="17"/>
      <c r="AE126" s="17"/>
      <c r="AF126" s="17"/>
      <c r="AG126" s="17"/>
      <c r="AH126" s="17"/>
      <c r="AI126" s="17"/>
      <c r="AJ126" s="17"/>
      <c r="AK126" s="17"/>
      <c r="AL126" s="17"/>
      <c r="AM126" s="17"/>
      <c r="AO126" s="65"/>
      <c r="AP126" s="65"/>
      <c r="AQ126" s="65"/>
      <c r="AR126" s="65"/>
      <c r="AS126" s="65"/>
      <c r="AT126" s="65"/>
      <c r="AU126" s="65"/>
      <c r="AV126" s="65"/>
      <c r="AW126" s="65"/>
    </row>
    <row r="127" spans="2:49" ht="17.100000000000001" customHeight="1">
      <c r="B127" s="17"/>
      <c r="C127" s="17"/>
      <c r="D127" s="17" t="s">
        <v>9</v>
      </c>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O127" s="65"/>
      <c r="AP127" s="65"/>
      <c r="AQ127" s="65"/>
      <c r="AR127" s="65"/>
      <c r="AS127" s="65"/>
      <c r="AT127" s="65"/>
      <c r="AU127" s="65"/>
      <c r="AV127" s="65"/>
      <c r="AW127" s="65"/>
    </row>
    <row r="128" spans="2:49" ht="17.100000000000001" customHeight="1" thickBot="1">
      <c r="B128" s="17"/>
      <c r="C128" s="17"/>
      <c r="D128" s="17"/>
      <c r="E128" s="17" t="s">
        <v>25</v>
      </c>
      <c r="F128" s="17"/>
      <c r="G128" s="17"/>
      <c r="H128" s="18" t="s">
        <v>239</v>
      </c>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7"/>
      <c r="AM128" s="17"/>
      <c r="AO128" s="65"/>
      <c r="AP128" s="65"/>
      <c r="AQ128" s="65"/>
      <c r="AR128" s="65"/>
      <c r="AS128" s="65"/>
      <c r="AT128" s="65"/>
      <c r="AU128" s="65"/>
      <c r="AV128" s="65"/>
      <c r="AW128" s="65"/>
    </row>
    <row r="129" spans="2:45" ht="17.100000000000001" customHeight="1" thickBot="1">
      <c r="B129" s="17"/>
      <c r="C129" s="17"/>
      <c r="D129" s="17"/>
      <c r="E129" s="17" t="s">
        <v>10</v>
      </c>
      <c r="F129" s="17"/>
      <c r="G129" s="17"/>
      <c r="H129" s="298">
        <v>95389897</v>
      </c>
      <c r="I129" s="299"/>
      <c r="J129" s="299"/>
      <c r="K129" s="299"/>
      <c r="L129" s="299"/>
      <c r="M129" s="300"/>
      <c r="N129" s="17" t="s">
        <v>123</v>
      </c>
      <c r="O129" s="17"/>
      <c r="P129" s="17"/>
      <c r="Q129" s="17"/>
      <c r="R129" s="17"/>
      <c r="S129" s="17"/>
      <c r="T129" s="17"/>
      <c r="U129" s="30"/>
      <c r="V129" s="30"/>
      <c r="W129" s="30"/>
      <c r="X129" s="30"/>
      <c r="Y129" s="30"/>
      <c r="Z129" s="30"/>
      <c r="AA129" s="30"/>
      <c r="AB129" s="30"/>
      <c r="AC129" s="30"/>
      <c r="AD129" s="30"/>
      <c r="AE129" s="30"/>
      <c r="AF129" s="30"/>
      <c r="AG129" s="30"/>
      <c r="AH129" s="30"/>
      <c r="AI129" s="30"/>
      <c r="AJ129" s="30"/>
      <c r="AK129" s="30"/>
      <c r="AL129" s="17"/>
      <c r="AM129" s="17"/>
      <c r="AS129" s="62"/>
    </row>
    <row r="130" spans="2:45" ht="17.100000000000001" customHeight="1" thickBot="1">
      <c r="B130" s="17"/>
      <c r="C130" s="17"/>
      <c r="D130" s="17"/>
      <c r="E130" s="17" t="s">
        <v>11</v>
      </c>
      <c r="F130" s="17"/>
      <c r="G130" s="17"/>
      <c r="H130" s="298">
        <v>69553403</v>
      </c>
      <c r="I130" s="299"/>
      <c r="J130" s="299"/>
      <c r="K130" s="299"/>
      <c r="L130" s="299"/>
      <c r="M130" s="300"/>
      <c r="N130" s="17" t="s">
        <v>123</v>
      </c>
      <c r="O130" s="17"/>
      <c r="P130" s="17"/>
      <c r="Q130" s="17"/>
      <c r="R130" s="17"/>
      <c r="S130" s="17"/>
      <c r="T130" s="17"/>
      <c r="U130" s="427" t="s">
        <v>189</v>
      </c>
      <c r="V130" s="286"/>
      <c r="W130" s="639" t="s">
        <v>187</v>
      </c>
      <c r="X130" s="639"/>
      <c r="Y130" s="639"/>
      <c r="Z130" s="639" t="s">
        <v>188</v>
      </c>
      <c r="AA130" s="639"/>
      <c r="AB130" s="640"/>
      <c r="AC130" s="17"/>
      <c r="AD130" s="30"/>
      <c r="AE130" s="30"/>
      <c r="AF130" s="30"/>
      <c r="AG130" s="30"/>
      <c r="AH130" s="30"/>
      <c r="AI130" s="30"/>
      <c r="AJ130" s="30"/>
      <c r="AK130" s="30"/>
      <c r="AL130" s="17"/>
      <c r="AM130" s="17"/>
      <c r="AS130" s="62"/>
    </row>
    <row r="131" spans="2:45" ht="17.100000000000001" customHeight="1" thickBot="1">
      <c r="B131" s="17"/>
      <c r="C131" s="17"/>
      <c r="D131" s="17"/>
      <c r="E131" s="18" t="s">
        <v>12</v>
      </c>
      <c r="F131" s="17"/>
      <c r="G131" s="17"/>
      <c r="H131" s="446">
        <f>SUM(H129:M130)</f>
        <v>164943300</v>
      </c>
      <c r="I131" s="447"/>
      <c r="J131" s="447"/>
      <c r="K131" s="447"/>
      <c r="L131" s="447"/>
      <c r="M131" s="448"/>
      <c r="N131" s="17" t="s">
        <v>123</v>
      </c>
      <c r="O131" s="17"/>
      <c r="P131" s="17"/>
      <c r="Q131" s="17"/>
      <c r="R131" s="17"/>
      <c r="S131" s="17"/>
      <c r="T131" s="17"/>
      <c r="U131" s="643" t="str">
        <f>H128</f>
        <v>2021년</v>
      </c>
      <c r="V131" s="644"/>
      <c r="W131" s="641">
        <f>((H135-H139)/H139)</f>
        <v>-0.93566247207514319</v>
      </c>
      <c r="X131" s="641"/>
      <c r="Y131" s="641"/>
      <c r="Z131" s="425" t="str">
        <f>IF(W131&gt;50%,"지원불가","지원가능")</f>
        <v>지원가능</v>
      </c>
      <c r="AA131" s="425"/>
      <c r="AB131" s="642"/>
      <c r="AC131" s="17"/>
      <c r="AD131" s="30"/>
      <c r="AE131" s="30"/>
      <c r="AF131" s="30"/>
      <c r="AG131" s="30"/>
      <c r="AH131" s="30"/>
      <c r="AI131" s="30"/>
      <c r="AJ131" s="30"/>
      <c r="AK131" s="30"/>
      <c r="AL131" s="17"/>
      <c r="AM131" s="17"/>
      <c r="AS131" s="62"/>
    </row>
    <row r="132" spans="2:45" ht="17.100000000000001" customHeight="1" thickBot="1">
      <c r="B132" s="17"/>
      <c r="C132" s="17"/>
      <c r="D132" s="17"/>
      <c r="E132" s="17" t="s">
        <v>13</v>
      </c>
      <c r="F132" s="17"/>
      <c r="G132" s="17"/>
      <c r="H132" s="298">
        <v>43355324</v>
      </c>
      <c r="I132" s="299"/>
      <c r="J132" s="299"/>
      <c r="K132" s="299"/>
      <c r="L132" s="299"/>
      <c r="M132" s="300"/>
      <c r="N132" s="17" t="s">
        <v>123</v>
      </c>
      <c r="O132" s="17"/>
      <c r="P132" s="17"/>
      <c r="Q132" s="17"/>
      <c r="R132" s="17"/>
      <c r="S132" s="17"/>
      <c r="T132" s="17"/>
      <c r="U132" s="645" t="str">
        <f>H145</f>
        <v>2022년</v>
      </c>
      <c r="V132" s="646"/>
      <c r="W132" s="647">
        <f>((H152-H156)/H156)</f>
        <v>-0.94115842776485081</v>
      </c>
      <c r="X132" s="648"/>
      <c r="Y132" s="649"/>
      <c r="Z132" s="426" t="str">
        <f>IF(W132&gt;50%,"지원불가","지원가능")</f>
        <v>지원가능</v>
      </c>
      <c r="AA132" s="426"/>
      <c r="AB132" s="650"/>
      <c r="AC132" s="30"/>
      <c r="AD132" s="30"/>
      <c r="AE132" s="30"/>
      <c r="AF132" s="30"/>
      <c r="AG132" s="30"/>
      <c r="AH132" s="30"/>
      <c r="AI132" s="30"/>
      <c r="AJ132" s="30"/>
      <c r="AK132" s="30"/>
      <c r="AL132" s="17"/>
      <c r="AM132" s="17"/>
      <c r="AS132" s="62"/>
    </row>
    <row r="133" spans="2:45" ht="17.100000000000001" customHeight="1" thickBot="1">
      <c r="B133" s="17"/>
      <c r="C133" s="17"/>
      <c r="D133" s="17"/>
      <c r="E133" s="17" t="s">
        <v>14</v>
      </c>
      <c r="F133" s="17"/>
      <c r="G133" s="17"/>
      <c r="H133" s="298">
        <v>1845611</v>
      </c>
      <c r="I133" s="299"/>
      <c r="J133" s="299"/>
      <c r="K133" s="299"/>
      <c r="L133" s="299"/>
      <c r="M133" s="300"/>
      <c r="N133" s="17" t="s">
        <v>123</v>
      </c>
      <c r="O133" s="17"/>
      <c r="P133" s="17"/>
      <c r="Q133" s="17"/>
      <c r="R133" s="17"/>
      <c r="S133" s="17"/>
      <c r="T133" s="17"/>
      <c r="U133" s="30"/>
      <c r="V133" s="30"/>
      <c r="W133" s="30"/>
      <c r="X133" s="30"/>
      <c r="Y133" s="30"/>
      <c r="Z133" s="30"/>
      <c r="AA133" s="30"/>
      <c r="AB133" s="30"/>
      <c r="AC133" s="30"/>
      <c r="AD133" s="30"/>
      <c r="AE133" s="30"/>
      <c r="AF133" s="30"/>
      <c r="AG133" s="30"/>
      <c r="AH133" s="30"/>
      <c r="AI133" s="30"/>
      <c r="AJ133" s="30"/>
      <c r="AK133" s="30"/>
      <c r="AL133" s="17"/>
      <c r="AM133" s="17"/>
      <c r="AS133" s="62"/>
    </row>
    <row r="134" spans="2:45" ht="17.100000000000001" customHeight="1" thickBot="1">
      <c r="B134" s="17"/>
      <c r="C134" s="17"/>
      <c r="D134" s="17"/>
      <c r="E134" s="18" t="s">
        <v>15</v>
      </c>
      <c r="F134" s="17"/>
      <c r="G134" s="17"/>
      <c r="H134" s="446">
        <f>H132+H133</f>
        <v>45200935</v>
      </c>
      <c r="I134" s="447"/>
      <c r="J134" s="447"/>
      <c r="K134" s="447"/>
      <c r="L134" s="447"/>
      <c r="M134" s="448"/>
      <c r="N134" s="17" t="s">
        <v>123</v>
      </c>
      <c r="O134" s="17"/>
      <c r="P134" s="17"/>
      <c r="Q134" s="17"/>
      <c r="R134" s="17"/>
      <c r="S134" s="17"/>
      <c r="T134" s="17"/>
      <c r="U134" s="30"/>
      <c r="V134" s="30"/>
      <c r="W134" s="30"/>
      <c r="X134" s="30"/>
      <c r="Y134" s="30"/>
      <c r="Z134" s="30"/>
      <c r="AA134" s="30"/>
      <c r="AB134" s="30"/>
      <c r="AC134" s="30"/>
      <c r="AD134" s="30"/>
      <c r="AE134" s="30"/>
      <c r="AF134" s="30"/>
      <c r="AG134" s="30"/>
      <c r="AH134" s="30"/>
      <c r="AI134" s="30"/>
      <c r="AJ134" s="30"/>
      <c r="AK134" s="30"/>
      <c r="AL134" s="17"/>
      <c r="AM134" s="17"/>
      <c r="AS134" s="62"/>
    </row>
    <row r="135" spans="2:45" ht="17.100000000000001" customHeight="1" thickBot="1">
      <c r="B135" s="17"/>
      <c r="C135" s="17"/>
      <c r="D135" s="17"/>
      <c r="E135" s="17" t="s">
        <v>16</v>
      </c>
      <c r="F135" s="17"/>
      <c r="G135" s="17"/>
      <c r="H135" s="298">
        <v>7670000</v>
      </c>
      <c r="I135" s="299"/>
      <c r="J135" s="299"/>
      <c r="K135" s="299"/>
      <c r="L135" s="299"/>
      <c r="M135" s="300"/>
      <c r="N135" s="17" t="s">
        <v>123</v>
      </c>
      <c r="O135" s="17"/>
      <c r="P135" s="17"/>
      <c r="Q135" s="17"/>
      <c r="R135" s="17"/>
      <c r="S135" s="17"/>
      <c r="T135" s="17"/>
      <c r="U135" s="30"/>
      <c r="V135" s="30"/>
      <c r="W135" s="30"/>
      <c r="X135" s="30"/>
      <c r="Y135" s="30"/>
      <c r="Z135" s="30"/>
      <c r="AA135" s="30"/>
      <c r="AB135" s="30"/>
      <c r="AC135" s="30"/>
      <c r="AD135" s="30"/>
      <c r="AE135" s="30"/>
      <c r="AF135" s="30"/>
      <c r="AG135" s="30"/>
      <c r="AH135" s="30"/>
      <c r="AI135" s="30"/>
      <c r="AJ135" s="30"/>
      <c r="AK135" s="30"/>
      <c r="AL135" s="17"/>
      <c r="AM135" s="17"/>
      <c r="AS135" s="62"/>
    </row>
    <row r="136" spans="2:45" ht="17.100000000000001" customHeight="1" thickBot="1">
      <c r="B136" s="17"/>
      <c r="C136" s="17"/>
      <c r="D136" s="17"/>
      <c r="E136" s="17" t="s">
        <v>52</v>
      </c>
      <c r="F136" s="17"/>
      <c r="G136" s="17"/>
      <c r="H136" s="298">
        <v>16452121</v>
      </c>
      <c r="I136" s="299"/>
      <c r="J136" s="299"/>
      <c r="K136" s="299"/>
      <c r="L136" s="299"/>
      <c r="M136" s="300"/>
      <c r="N136" s="17" t="s">
        <v>123</v>
      </c>
      <c r="O136" s="17"/>
      <c r="P136" s="17"/>
      <c r="Q136" s="17"/>
      <c r="R136" s="17"/>
      <c r="S136" s="17"/>
      <c r="T136" s="17"/>
      <c r="U136" s="30"/>
      <c r="V136" s="30"/>
      <c r="W136" s="30"/>
      <c r="X136" s="30"/>
      <c r="Y136" s="30"/>
      <c r="Z136" s="30"/>
      <c r="AA136" s="30"/>
      <c r="AB136" s="30"/>
      <c r="AC136" s="30"/>
      <c r="AD136" s="30"/>
      <c r="AE136" s="30"/>
      <c r="AF136" s="30"/>
      <c r="AG136" s="30"/>
      <c r="AH136" s="30"/>
      <c r="AI136" s="30"/>
      <c r="AJ136" s="30"/>
      <c r="AK136" s="30"/>
      <c r="AL136" s="17"/>
      <c r="AM136" s="17"/>
      <c r="AS136" s="62"/>
    </row>
    <row r="137" spans="2:45" ht="17.100000000000001" customHeight="1" thickBot="1">
      <c r="B137" s="17"/>
      <c r="C137" s="17"/>
      <c r="D137" s="17"/>
      <c r="E137" s="17" t="s">
        <v>17</v>
      </c>
      <c r="F137" s="17"/>
      <c r="G137" s="17"/>
      <c r="H137" s="298">
        <v>95046001</v>
      </c>
      <c r="I137" s="299"/>
      <c r="J137" s="299"/>
      <c r="K137" s="299"/>
      <c r="L137" s="299"/>
      <c r="M137" s="300"/>
      <c r="N137" s="17" t="s">
        <v>123</v>
      </c>
      <c r="O137" s="17"/>
      <c r="P137" s="17"/>
      <c r="Q137" s="17"/>
      <c r="R137" s="17"/>
      <c r="S137" s="17"/>
      <c r="T137" s="17"/>
      <c r="U137" s="30"/>
      <c r="V137" s="30"/>
      <c r="W137" s="30"/>
      <c r="X137" s="30"/>
      <c r="Y137" s="30"/>
      <c r="Z137" s="30"/>
      <c r="AA137" s="30"/>
      <c r="AB137" s="30"/>
      <c r="AC137" s="30"/>
      <c r="AD137" s="30"/>
      <c r="AE137" s="30"/>
      <c r="AF137" s="30"/>
      <c r="AG137" s="30"/>
      <c r="AH137" s="30"/>
      <c r="AI137" s="30"/>
      <c r="AJ137" s="30"/>
      <c r="AK137" s="30"/>
      <c r="AL137" s="17"/>
      <c r="AM137" s="17"/>
      <c r="AS137" s="62"/>
    </row>
    <row r="138" spans="2:45" ht="17.100000000000001" customHeight="1" thickBot="1">
      <c r="B138" s="17"/>
      <c r="C138" s="17"/>
      <c r="D138" s="17"/>
      <c r="E138" s="17" t="s">
        <v>18</v>
      </c>
      <c r="F138" s="17"/>
      <c r="G138" s="17"/>
      <c r="H138" s="298">
        <v>46903</v>
      </c>
      <c r="I138" s="299"/>
      <c r="J138" s="299"/>
      <c r="K138" s="299"/>
      <c r="L138" s="299"/>
      <c r="M138" s="300"/>
      <c r="N138" s="17" t="s">
        <v>123</v>
      </c>
      <c r="O138" s="17"/>
      <c r="P138" s="17"/>
      <c r="Q138" s="17"/>
      <c r="R138" s="17"/>
      <c r="S138" s="17"/>
      <c r="T138" s="17"/>
      <c r="U138" s="30"/>
      <c r="V138" s="30"/>
      <c r="W138" s="30"/>
      <c r="X138" s="30"/>
      <c r="Y138" s="30"/>
      <c r="Z138" s="30"/>
      <c r="AA138" s="30"/>
      <c r="AB138" s="30"/>
      <c r="AC138" s="30"/>
      <c r="AD138" s="30"/>
      <c r="AE138" s="30"/>
      <c r="AF138" s="30"/>
      <c r="AG138" s="30"/>
      <c r="AH138" s="30"/>
      <c r="AI138" s="30"/>
      <c r="AJ138" s="30"/>
      <c r="AK138" s="30"/>
      <c r="AL138" s="17"/>
      <c r="AM138" s="17"/>
      <c r="AS138" s="62"/>
    </row>
    <row r="139" spans="2:45" ht="17.100000000000001" customHeight="1" thickBot="1">
      <c r="B139" s="17"/>
      <c r="C139" s="17"/>
      <c r="D139" s="17"/>
      <c r="E139" s="18" t="s">
        <v>19</v>
      </c>
      <c r="F139" s="17"/>
      <c r="G139" s="17"/>
      <c r="H139" s="446">
        <f>SUM(H135:M138)</f>
        <v>119215025</v>
      </c>
      <c r="I139" s="447"/>
      <c r="J139" s="447"/>
      <c r="K139" s="447"/>
      <c r="L139" s="447"/>
      <c r="M139" s="448"/>
      <c r="N139" s="17" t="s">
        <v>123</v>
      </c>
      <c r="O139" s="17"/>
      <c r="P139" s="17"/>
      <c r="Q139" s="17"/>
      <c r="R139" s="17"/>
      <c r="S139" s="17"/>
      <c r="T139" s="17"/>
      <c r="U139" s="30"/>
      <c r="V139" s="30"/>
      <c r="W139" s="30"/>
      <c r="X139" s="30"/>
      <c r="Y139" s="30"/>
      <c r="Z139" s="30"/>
      <c r="AA139" s="30"/>
      <c r="AB139" s="30"/>
      <c r="AC139" s="30"/>
      <c r="AD139" s="30"/>
      <c r="AE139" s="30"/>
      <c r="AF139" s="30"/>
      <c r="AG139" s="30"/>
      <c r="AH139" s="30"/>
      <c r="AI139" s="30"/>
      <c r="AJ139" s="30"/>
      <c r="AK139" s="30"/>
      <c r="AL139" s="17"/>
      <c r="AM139" s="17"/>
      <c r="AS139" s="62"/>
    </row>
    <row r="140" spans="2:45" ht="17.100000000000001" customHeight="1" thickBot="1">
      <c r="B140" s="17"/>
      <c r="C140" s="17"/>
      <c r="D140" s="17"/>
      <c r="E140" s="17" t="s">
        <v>20</v>
      </c>
      <c r="F140" s="17"/>
      <c r="G140" s="17"/>
      <c r="H140" s="298">
        <v>235627185</v>
      </c>
      <c r="I140" s="299"/>
      <c r="J140" s="299"/>
      <c r="K140" s="299"/>
      <c r="L140" s="299"/>
      <c r="M140" s="300"/>
      <c r="N140" s="17" t="s">
        <v>123</v>
      </c>
      <c r="O140" s="17"/>
      <c r="P140" s="17"/>
      <c r="Q140" s="17"/>
      <c r="R140" s="17"/>
      <c r="S140" s="17"/>
      <c r="T140" s="17"/>
      <c r="U140" s="30"/>
      <c r="V140" s="30"/>
      <c r="W140" s="30"/>
      <c r="X140" s="30"/>
      <c r="Y140" s="30"/>
      <c r="Z140" s="30"/>
      <c r="AA140" s="30"/>
      <c r="AB140" s="30"/>
      <c r="AC140" s="30"/>
      <c r="AD140" s="30"/>
      <c r="AE140" s="30"/>
      <c r="AF140" s="30"/>
      <c r="AG140" s="30"/>
      <c r="AH140" s="30"/>
      <c r="AI140" s="30"/>
      <c r="AJ140" s="30"/>
      <c r="AK140" s="30"/>
      <c r="AL140" s="17"/>
      <c r="AM140" s="17"/>
      <c r="AS140" s="62"/>
    </row>
    <row r="141" spans="2:45" ht="17.100000000000001" customHeight="1" thickBot="1">
      <c r="B141" s="17"/>
      <c r="C141" s="17"/>
      <c r="D141" s="17"/>
      <c r="E141" s="17" t="s">
        <v>21</v>
      </c>
      <c r="F141" s="17"/>
      <c r="G141" s="17"/>
      <c r="H141" s="298">
        <v>11532572</v>
      </c>
      <c r="I141" s="299"/>
      <c r="J141" s="299"/>
      <c r="K141" s="299"/>
      <c r="L141" s="299"/>
      <c r="M141" s="300"/>
      <c r="N141" s="17" t="s">
        <v>123</v>
      </c>
      <c r="O141" s="17"/>
      <c r="P141" s="17"/>
      <c r="Q141" s="17"/>
      <c r="R141" s="17"/>
      <c r="S141" s="17"/>
      <c r="T141" s="17"/>
      <c r="U141" s="30"/>
      <c r="V141" s="30"/>
      <c r="W141" s="30"/>
      <c r="X141" s="30"/>
      <c r="Y141" s="30"/>
      <c r="Z141" s="30"/>
      <c r="AA141" s="30"/>
      <c r="AB141" s="30"/>
      <c r="AC141" s="30"/>
      <c r="AD141" s="30"/>
      <c r="AE141" s="30"/>
      <c r="AF141" s="30"/>
      <c r="AG141" s="30"/>
      <c r="AH141" s="30"/>
      <c r="AI141" s="30"/>
      <c r="AJ141" s="30"/>
      <c r="AK141" s="30"/>
      <c r="AL141" s="17"/>
      <c r="AM141" s="17"/>
      <c r="AS141" s="62"/>
    </row>
    <row r="142" spans="2:45" ht="17.100000000000001" customHeight="1" thickBot="1">
      <c r="B142" s="17"/>
      <c r="C142" s="17"/>
      <c r="D142" s="17"/>
      <c r="E142" s="17" t="s">
        <v>22</v>
      </c>
      <c r="F142" s="17"/>
      <c r="G142" s="17"/>
      <c r="H142" s="298">
        <v>14876594</v>
      </c>
      <c r="I142" s="299"/>
      <c r="J142" s="299"/>
      <c r="K142" s="299"/>
      <c r="L142" s="299"/>
      <c r="M142" s="300"/>
      <c r="N142" s="17" t="s">
        <v>123</v>
      </c>
      <c r="O142" s="17"/>
      <c r="P142" s="17"/>
      <c r="Q142" s="17"/>
      <c r="R142" s="17"/>
      <c r="S142" s="17"/>
      <c r="T142" s="17"/>
      <c r="U142" s="30"/>
      <c r="V142" s="30"/>
      <c r="W142" s="30"/>
      <c r="X142" s="30"/>
      <c r="Y142" s="30"/>
      <c r="Z142" s="30"/>
      <c r="AA142" s="30"/>
      <c r="AB142" s="30"/>
      <c r="AC142" s="30"/>
      <c r="AD142" s="30"/>
      <c r="AE142" s="30"/>
      <c r="AF142" s="30"/>
      <c r="AG142" s="30"/>
      <c r="AH142" s="30"/>
      <c r="AI142" s="30"/>
      <c r="AJ142" s="30"/>
      <c r="AK142" s="30"/>
      <c r="AL142" s="17"/>
      <c r="AM142" s="17"/>
      <c r="AS142" s="62"/>
    </row>
    <row r="143" spans="2:45" ht="17.100000000000001" customHeight="1" thickBot="1">
      <c r="B143" s="17"/>
      <c r="C143" s="17"/>
      <c r="D143" s="17"/>
      <c r="E143" s="17" t="s">
        <v>23</v>
      </c>
      <c r="F143" s="17"/>
      <c r="G143" s="17"/>
      <c r="H143" s="298">
        <v>11081872</v>
      </c>
      <c r="I143" s="299"/>
      <c r="J143" s="299"/>
      <c r="K143" s="299"/>
      <c r="L143" s="299"/>
      <c r="M143" s="300"/>
      <c r="N143" s="17" t="s">
        <v>123</v>
      </c>
      <c r="O143" s="17"/>
      <c r="P143" s="17"/>
      <c r="Q143" s="17"/>
      <c r="R143" s="17"/>
      <c r="S143" s="17"/>
      <c r="T143" s="17"/>
      <c r="U143" s="30"/>
      <c r="V143" s="30"/>
      <c r="W143" s="30"/>
      <c r="X143" s="30"/>
      <c r="Y143" s="30"/>
      <c r="Z143" s="30"/>
      <c r="AA143" s="30"/>
      <c r="AB143" s="30"/>
      <c r="AC143" s="30"/>
      <c r="AD143" s="30"/>
      <c r="AE143" s="30"/>
      <c r="AF143" s="30"/>
      <c r="AG143" s="30"/>
      <c r="AH143" s="30"/>
      <c r="AI143" s="30"/>
      <c r="AJ143" s="30"/>
      <c r="AK143" s="30"/>
      <c r="AL143" s="17"/>
      <c r="AM143" s="17"/>
      <c r="AS143" s="62"/>
    </row>
    <row r="144" spans="2:45" ht="17.100000000000001" customHeight="1" thickBot="1">
      <c r="B144" s="17"/>
      <c r="C144" s="17"/>
      <c r="D144" s="17"/>
      <c r="E144" s="17" t="s">
        <v>24</v>
      </c>
      <c r="F144" s="17"/>
      <c r="G144" s="17"/>
      <c r="H144" s="298">
        <v>2844</v>
      </c>
      <c r="I144" s="299"/>
      <c r="J144" s="299"/>
      <c r="K144" s="299"/>
      <c r="L144" s="299"/>
      <c r="M144" s="300"/>
      <c r="N144" s="17" t="s">
        <v>123</v>
      </c>
      <c r="O144" s="17"/>
      <c r="P144" s="17"/>
      <c r="Q144" s="17"/>
      <c r="R144" s="17"/>
      <c r="S144" s="17"/>
      <c r="T144" s="17"/>
      <c r="U144" s="30"/>
      <c r="V144" s="30"/>
      <c r="W144" s="30"/>
      <c r="X144" s="30"/>
      <c r="Y144" s="30"/>
      <c r="Z144" s="30"/>
      <c r="AA144" s="30"/>
      <c r="AB144" s="30"/>
      <c r="AC144" s="30"/>
      <c r="AD144" s="30"/>
      <c r="AE144" s="30"/>
      <c r="AF144" s="30"/>
      <c r="AG144" s="30"/>
      <c r="AH144" s="30"/>
      <c r="AI144" s="30"/>
      <c r="AJ144" s="30"/>
      <c r="AK144" s="30"/>
      <c r="AL144" s="17"/>
      <c r="AM144" s="17"/>
      <c r="AS144" s="62"/>
    </row>
    <row r="145" spans="2:45" ht="17.100000000000001" customHeight="1" thickBot="1">
      <c r="B145" s="17"/>
      <c r="C145" s="17"/>
      <c r="D145" s="17"/>
      <c r="E145" s="17" t="s">
        <v>25</v>
      </c>
      <c r="F145" s="17"/>
      <c r="G145" s="17"/>
      <c r="H145" s="445" t="s">
        <v>124</v>
      </c>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17"/>
      <c r="AM145" s="17"/>
      <c r="AS145" s="66"/>
    </row>
    <row r="146" spans="2:45" ht="17.100000000000001" customHeight="1" thickBot="1">
      <c r="B146" s="17"/>
      <c r="C146" s="17"/>
      <c r="D146" s="17"/>
      <c r="E146" s="17" t="s">
        <v>10</v>
      </c>
      <c r="F146" s="17"/>
      <c r="G146" s="17"/>
      <c r="H146" s="298">
        <v>113099416</v>
      </c>
      <c r="I146" s="299"/>
      <c r="J146" s="299"/>
      <c r="K146" s="299"/>
      <c r="L146" s="299"/>
      <c r="M146" s="300"/>
      <c r="N146" s="17" t="s">
        <v>123</v>
      </c>
      <c r="O146" s="17"/>
      <c r="P146" s="17"/>
      <c r="Q146" s="17"/>
      <c r="R146" s="17"/>
      <c r="S146" s="17"/>
      <c r="T146" s="17"/>
      <c r="U146" s="30"/>
      <c r="V146" s="30"/>
      <c r="W146" s="30"/>
      <c r="X146" s="30"/>
      <c r="Y146" s="30"/>
      <c r="Z146" s="30"/>
      <c r="AA146" s="30"/>
      <c r="AB146" s="30"/>
      <c r="AC146" s="30"/>
      <c r="AD146" s="30"/>
      <c r="AE146" s="30"/>
      <c r="AF146" s="30"/>
      <c r="AG146" s="30"/>
      <c r="AH146" s="30"/>
      <c r="AI146" s="30"/>
      <c r="AJ146" s="30"/>
      <c r="AK146" s="30"/>
      <c r="AL146" s="17"/>
      <c r="AM146" s="17"/>
      <c r="AS146" s="62"/>
    </row>
    <row r="147" spans="2:45" ht="17.100000000000001" customHeight="1" thickBot="1">
      <c r="B147" s="17"/>
      <c r="C147" s="17"/>
      <c r="D147" s="17"/>
      <c r="E147" s="17" t="s">
        <v>11</v>
      </c>
      <c r="F147" s="17"/>
      <c r="G147" s="17"/>
      <c r="H147" s="298">
        <v>75706930</v>
      </c>
      <c r="I147" s="299"/>
      <c r="J147" s="299"/>
      <c r="K147" s="299"/>
      <c r="L147" s="299"/>
      <c r="M147" s="300"/>
      <c r="N147" s="17" t="s">
        <v>123</v>
      </c>
      <c r="O147" s="17"/>
      <c r="P147" s="17"/>
      <c r="Q147" s="17"/>
      <c r="R147" s="17"/>
      <c r="S147" s="17"/>
      <c r="T147" s="17"/>
      <c r="U147" s="30"/>
      <c r="V147" s="30"/>
      <c r="W147" s="30"/>
      <c r="X147" s="30"/>
      <c r="Y147" s="30"/>
      <c r="Z147" s="30"/>
      <c r="AA147" s="30"/>
      <c r="AB147" s="30"/>
      <c r="AC147" s="30"/>
      <c r="AD147" s="30"/>
      <c r="AE147" s="30"/>
      <c r="AF147" s="30"/>
      <c r="AG147" s="30"/>
      <c r="AH147" s="30"/>
      <c r="AI147" s="30"/>
      <c r="AJ147" s="30"/>
      <c r="AK147" s="30"/>
      <c r="AL147" s="17"/>
      <c r="AM147" s="17"/>
      <c r="AS147" s="62"/>
    </row>
    <row r="148" spans="2:45" ht="17.100000000000001" customHeight="1" thickBot="1">
      <c r="B148" s="17"/>
      <c r="C148" s="17"/>
      <c r="D148" s="17"/>
      <c r="E148" s="18" t="s">
        <v>12</v>
      </c>
      <c r="F148" s="17"/>
      <c r="G148" s="17"/>
      <c r="H148" s="446">
        <f>H146+H147</f>
        <v>188806346</v>
      </c>
      <c r="I148" s="447"/>
      <c r="J148" s="447"/>
      <c r="K148" s="447"/>
      <c r="L148" s="447"/>
      <c r="M148" s="448"/>
      <c r="N148" s="17" t="s">
        <v>123</v>
      </c>
      <c r="O148" s="17"/>
      <c r="P148" s="17"/>
      <c r="Q148" s="17"/>
      <c r="R148" s="17"/>
      <c r="S148" s="17"/>
      <c r="T148" s="17"/>
      <c r="U148" s="30"/>
      <c r="V148" s="30"/>
      <c r="W148" s="30"/>
      <c r="X148" s="30"/>
      <c r="Y148" s="30"/>
      <c r="Z148" s="30"/>
      <c r="AA148" s="30"/>
      <c r="AB148" s="30"/>
      <c r="AC148" s="30"/>
      <c r="AD148" s="30"/>
      <c r="AE148" s="30"/>
      <c r="AF148" s="30"/>
      <c r="AG148" s="30"/>
      <c r="AH148" s="30"/>
      <c r="AI148" s="30"/>
      <c r="AJ148" s="30"/>
      <c r="AK148" s="30"/>
      <c r="AL148" s="17"/>
      <c r="AM148" s="17"/>
      <c r="AS148" s="62"/>
    </row>
    <row r="149" spans="2:45" ht="17.100000000000001" customHeight="1" thickBot="1">
      <c r="B149" s="17"/>
      <c r="C149" s="17"/>
      <c r="D149" s="17"/>
      <c r="E149" s="17" t="s">
        <v>13</v>
      </c>
      <c r="F149" s="17"/>
      <c r="G149" s="17"/>
      <c r="H149" s="298">
        <v>55850715</v>
      </c>
      <c r="I149" s="299"/>
      <c r="J149" s="299"/>
      <c r="K149" s="299"/>
      <c r="L149" s="299"/>
      <c r="M149" s="300"/>
      <c r="N149" s="17" t="s">
        <v>123</v>
      </c>
      <c r="O149" s="17"/>
      <c r="P149" s="17"/>
      <c r="Q149" s="17"/>
      <c r="R149" s="17"/>
      <c r="S149" s="17"/>
      <c r="T149" s="17"/>
      <c r="U149" s="30"/>
      <c r="V149" s="30"/>
      <c r="W149" s="30"/>
      <c r="X149" s="30"/>
      <c r="Y149" s="30"/>
      <c r="Z149" s="30"/>
      <c r="AA149" s="30"/>
      <c r="AB149" s="30"/>
      <c r="AC149" s="30"/>
      <c r="AD149" s="30"/>
      <c r="AE149" s="30"/>
      <c r="AF149" s="30"/>
      <c r="AG149" s="30"/>
      <c r="AH149" s="30"/>
      <c r="AI149" s="30"/>
      <c r="AJ149" s="30"/>
      <c r="AK149" s="30"/>
      <c r="AL149" s="17"/>
      <c r="AM149" s="17"/>
      <c r="AS149" s="62"/>
    </row>
    <row r="150" spans="2:45" ht="17.100000000000001" customHeight="1" thickBot="1">
      <c r="B150" s="17"/>
      <c r="C150" s="17"/>
      <c r="D150" s="17"/>
      <c r="E150" s="17" t="s">
        <v>14</v>
      </c>
      <c r="F150" s="17"/>
      <c r="G150" s="17"/>
      <c r="H150" s="298">
        <v>1027920</v>
      </c>
      <c r="I150" s="299"/>
      <c r="J150" s="299"/>
      <c r="K150" s="299"/>
      <c r="L150" s="299"/>
      <c r="M150" s="300"/>
      <c r="N150" s="17" t="s">
        <v>123</v>
      </c>
      <c r="O150" s="17"/>
      <c r="P150" s="17"/>
      <c r="Q150" s="17"/>
      <c r="R150" s="17"/>
      <c r="S150" s="17"/>
      <c r="T150" s="17"/>
      <c r="U150" s="30"/>
      <c r="V150" s="30"/>
      <c r="W150" s="30"/>
      <c r="X150" s="30"/>
      <c r="Y150" s="30"/>
      <c r="Z150" s="30"/>
      <c r="AA150" s="30"/>
      <c r="AB150" s="30"/>
      <c r="AC150" s="30"/>
      <c r="AD150" s="30"/>
      <c r="AE150" s="30"/>
      <c r="AF150" s="30"/>
      <c r="AG150" s="30"/>
      <c r="AH150" s="30"/>
      <c r="AI150" s="30"/>
      <c r="AJ150" s="30"/>
      <c r="AK150" s="30"/>
      <c r="AL150" s="17"/>
      <c r="AM150" s="17"/>
      <c r="AS150" s="62"/>
    </row>
    <row r="151" spans="2:45" ht="17.100000000000001" customHeight="1" thickBot="1">
      <c r="B151" s="17"/>
      <c r="C151" s="17"/>
      <c r="D151" s="17"/>
      <c r="E151" s="18" t="s">
        <v>15</v>
      </c>
      <c r="F151" s="17"/>
      <c r="G151" s="17"/>
      <c r="H151" s="446">
        <f>H149+H150</f>
        <v>56878635</v>
      </c>
      <c r="I151" s="447"/>
      <c r="J151" s="447"/>
      <c r="K151" s="447"/>
      <c r="L151" s="447"/>
      <c r="M151" s="448"/>
      <c r="N151" s="17" t="s">
        <v>123</v>
      </c>
      <c r="O151" s="17"/>
      <c r="P151" s="17"/>
      <c r="Q151" s="17"/>
      <c r="R151" s="17"/>
      <c r="S151" s="17"/>
      <c r="T151" s="17"/>
      <c r="U151" s="30"/>
      <c r="V151" s="30"/>
      <c r="W151" s="30"/>
      <c r="X151" s="30"/>
      <c r="Y151" s="30"/>
      <c r="Z151" s="30"/>
      <c r="AA151" s="30"/>
      <c r="AB151" s="30"/>
      <c r="AC151" s="30"/>
      <c r="AD151" s="30"/>
      <c r="AE151" s="30"/>
      <c r="AF151" s="30"/>
      <c r="AG151" s="30"/>
      <c r="AH151" s="30"/>
      <c r="AI151" s="30"/>
      <c r="AJ151" s="30"/>
      <c r="AK151" s="30"/>
      <c r="AL151" s="17"/>
      <c r="AM151" s="17"/>
      <c r="AS151" s="62"/>
    </row>
    <row r="152" spans="2:45" ht="17.100000000000001" customHeight="1" thickBot="1">
      <c r="B152" s="17"/>
      <c r="C152" s="17"/>
      <c r="D152" s="17"/>
      <c r="E152" s="17" t="s">
        <v>16</v>
      </c>
      <c r="F152" s="17"/>
      <c r="G152" s="17"/>
      <c r="H152" s="298">
        <v>7670000</v>
      </c>
      <c r="I152" s="299"/>
      <c r="J152" s="299"/>
      <c r="K152" s="299"/>
      <c r="L152" s="299"/>
      <c r="M152" s="300"/>
      <c r="N152" s="17" t="s">
        <v>123</v>
      </c>
      <c r="O152" s="17"/>
      <c r="P152" s="17"/>
      <c r="Q152" s="17"/>
      <c r="R152" s="17"/>
      <c r="S152" s="17"/>
      <c r="T152" s="17"/>
      <c r="U152" s="30"/>
      <c r="V152" s="30"/>
      <c r="W152" s="30"/>
      <c r="X152" s="30"/>
      <c r="Y152" s="30"/>
      <c r="Z152" s="30"/>
      <c r="AA152" s="30"/>
      <c r="AB152" s="30"/>
      <c r="AC152" s="30"/>
      <c r="AD152" s="30"/>
      <c r="AE152" s="30"/>
      <c r="AF152" s="30"/>
      <c r="AG152" s="30"/>
      <c r="AH152" s="30"/>
      <c r="AI152" s="30"/>
      <c r="AJ152" s="30"/>
      <c r="AK152" s="30"/>
      <c r="AL152" s="17"/>
      <c r="AM152" s="17"/>
      <c r="AS152" s="62"/>
    </row>
    <row r="153" spans="2:45" ht="17.100000000000001" customHeight="1" thickBot="1">
      <c r="B153" s="17"/>
      <c r="C153" s="17"/>
      <c r="D153" s="17"/>
      <c r="E153" s="17" t="s">
        <v>52</v>
      </c>
      <c r="F153" s="17"/>
      <c r="G153" s="17"/>
      <c r="H153" s="298">
        <v>16452121</v>
      </c>
      <c r="I153" s="299"/>
      <c r="J153" s="299"/>
      <c r="K153" s="299"/>
      <c r="L153" s="299"/>
      <c r="M153" s="300"/>
      <c r="N153" s="17" t="s">
        <v>123</v>
      </c>
      <c r="O153" s="17"/>
      <c r="P153" s="17"/>
      <c r="Q153" s="17"/>
      <c r="R153" s="17"/>
      <c r="S153" s="17"/>
      <c r="T153" s="17"/>
      <c r="U153" s="30"/>
      <c r="V153" s="30"/>
      <c r="W153" s="30"/>
      <c r="X153" s="30"/>
      <c r="Y153" s="30"/>
      <c r="Z153" s="30"/>
      <c r="AA153" s="30"/>
      <c r="AB153" s="30"/>
      <c r="AC153" s="30"/>
      <c r="AD153" s="30"/>
      <c r="AE153" s="30"/>
      <c r="AF153" s="30"/>
      <c r="AG153" s="30"/>
      <c r="AH153" s="30"/>
      <c r="AI153" s="30"/>
      <c r="AJ153" s="30"/>
      <c r="AK153" s="30"/>
      <c r="AL153" s="17"/>
      <c r="AM153" s="17"/>
      <c r="AS153" s="62"/>
    </row>
    <row r="154" spans="2:45" ht="17.100000000000001" customHeight="1" thickBot="1">
      <c r="B154" s="17"/>
      <c r="C154" s="17"/>
      <c r="D154" s="17"/>
      <c r="E154" s="17" t="s">
        <v>17</v>
      </c>
      <c r="F154" s="17"/>
      <c r="G154" s="17"/>
      <c r="H154" s="298">
        <v>106474563</v>
      </c>
      <c r="I154" s="299"/>
      <c r="J154" s="299"/>
      <c r="K154" s="299"/>
      <c r="L154" s="299"/>
      <c r="M154" s="300"/>
      <c r="N154" s="17" t="s">
        <v>123</v>
      </c>
      <c r="O154" s="17"/>
      <c r="P154" s="17"/>
      <c r="Q154" s="17"/>
      <c r="R154" s="17"/>
      <c r="S154" s="17"/>
      <c r="T154" s="17"/>
      <c r="U154" s="30"/>
      <c r="V154" s="30"/>
      <c r="W154" s="30"/>
      <c r="X154" s="30"/>
      <c r="Y154" s="30"/>
      <c r="Z154" s="30"/>
      <c r="AA154" s="30"/>
      <c r="AB154" s="30"/>
      <c r="AC154" s="30"/>
      <c r="AD154" s="30"/>
      <c r="AE154" s="30"/>
      <c r="AF154" s="30"/>
      <c r="AG154" s="30"/>
      <c r="AH154" s="30"/>
      <c r="AI154" s="30"/>
      <c r="AJ154" s="30"/>
      <c r="AK154" s="30"/>
      <c r="AL154" s="17"/>
      <c r="AM154" s="17"/>
      <c r="AS154" s="62"/>
    </row>
    <row r="155" spans="2:45" ht="17.100000000000001" customHeight="1" thickBot="1">
      <c r="B155" s="17"/>
      <c r="C155" s="17"/>
      <c r="D155" s="17"/>
      <c r="E155" s="17" t="s">
        <v>18</v>
      </c>
      <c r="F155" s="17"/>
      <c r="G155" s="17"/>
      <c r="H155" s="298">
        <v>-246666</v>
      </c>
      <c r="I155" s="299"/>
      <c r="J155" s="299"/>
      <c r="K155" s="299"/>
      <c r="L155" s="299"/>
      <c r="M155" s="300"/>
      <c r="N155" s="17" t="s">
        <v>123</v>
      </c>
      <c r="O155" s="17"/>
      <c r="P155" s="17"/>
      <c r="Q155" s="17"/>
      <c r="R155" s="17"/>
      <c r="S155" s="17"/>
      <c r="T155" s="17"/>
      <c r="U155" s="30"/>
      <c r="V155" s="30"/>
      <c r="W155" s="30"/>
      <c r="X155" s="30"/>
      <c r="Y155" s="30"/>
      <c r="Z155" s="30"/>
      <c r="AA155" s="30"/>
      <c r="AB155" s="30"/>
      <c r="AC155" s="30"/>
      <c r="AD155" s="30"/>
      <c r="AE155" s="30"/>
      <c r="AF155" s="30"/>
      <c r="AG155" s="30"/>
      <c r="AH155" s="30"/>
      <c r="AI155" s="30"/>
      <c r="AJ155" s="30"/>
      <c r="AK155" s="30"/>
      <c r="AL155" s="17"/>
      <c r="AM155" s="17"/>
      <c r="AS155" s="62"/>
    </row>
    <row r="156" spans="2:45" ht="17.100000000000001" customHeight="1" thickBot="1">
      <c r="B156" s="17"/>
      <c r="C156" s="17"/>
      <c r="D156" s="17"/>
      <c r="E156" s="18" t="s">
        <v>19</v>
      </c>
      <c r="F156" s="17"/>
      <c r="G156" s="17"/>
      <c r="H156" s="446">
        <f>SUM(H152:M155)</f>
        <v>130350018</v>
      </c>
      <c r="I156" s="447"/>
      <c r="J156" s="447"/>
      <c r="K156" s="447"/>
      <c r="L156" s="447"/>
      <c r="M156" s="448"/>
      <c r="N156" s="17" t="s">
        <v>123</v>
      </c>
      <c r="O156" s="17"/>
      <c r="P156" s="17"/>
      <c r="Q156" s="17"/>
      <c r="R156" s="17"/>
      <c r="S156" s="17"/>
      <c r="T156" s="17"/>
      <c r="U156" s="30"/>
      <c r="V156" s="30"/>
      <c r="W156" s="30"/>
      <c r="X156" s="30"/>
      <c r="Y156" s="30"/>
      <c r="Z156" s="30"/>
      <c r="AA156" s="30"/>
      <c r="AB156" s="30"/>
      <c r="AC156" s="30"/>
      <c r="AD156" s="30"/>
      <c r="AE156" s="30"/>
      <c r="AF156" s="30"/>
      <c r="AG156" s="30"/>
      <c r="AH156" s="30"/>
      <c r="AI156" s="30"/>
      <c r="AJ156" s="30"/>
      <c r="AK156" s="30"/>
      <c r="AL156" s="17"/>
      <c r="AM156" s="17"/>
      <c r="AS156" s="62"/>
    </row>
    <row r="157" spans="2:45" ht="17.100000000000001" customHeight="1" thickBot="1">
      <c r="B157" s="17"/>
      <c r="C157" s="17"/>
      <c r="D157" s="17"/>
      <c r="E157" s="17" t="s">
        <v>20</v>
      </c>
      <c r="F157" s="17"/>
      <c r="G157" s="17"/>
      <c r="H157" s="298">
        <v>264472240</v>
      </c>
      <c r="I157" s="299"/>
      <c r="J157" s="299"/>
      <c r="K157" s="299"/>
      <c r="L157" s="299"/>
      <c r="M157" s="300"/>
      <c r="N157" s="17" t="s">
        <v>123</v>
      </c>
      <c r="O157" s="17"/>
      <c r="P157" s="17"/>
      <c r="Q157" s="17"/>
      <c r="R157" s="17"/>
      <c r="S157" s="17"/>
      <c r="T157" s="17"/>
      <c r="U157" s="30"/>
      <c r="V157" s="30"/>
      <c r="W157" s="30"/>
      <c r="X157" s="30"/>
      <c r="Y157" s="30"/>
      <c r="Z157" s="30"/>
      <c r="AA157" s="30"/>
      <c r="AB157" s="30"/>
      <c r="AC157" s="30"/>
      <c r="AD157" s="30"/>
      <c r="AE157" s="30"/>
      <c r="AF157" s="30"/>
      <c r="AG157" s="30"/>
      <c r="AH157" s="30"/>
      <c r="AI157" s="30"/>
      <c r="AJ157" s="30"/>
      <c r="AK157" s="30"/>
      <c r="AL157" s="17"/>
      <c r="AM157" s="17"/>
      <c r="AS157" s="62"/>
    </row>
    <row r="158" spans="2:45" ht="17.100000000000001" customHeight="1" thickBot="1">
      <c r="B158" s="17"/>
      <c r="C158" s="17"/>
      <c r="D158" s="17"/>
      <c r="E158" s="17" t="s">
        <v>21</v>
      </c>
      <c r="F158" s="17"/>
      <c r="G158" s="17"/>
      <c r="H158" s="298">
        <v>15472508</v>
      </c>
      <c r="I158" s="299"/>
      <c r="J158" s="299"/>
      <c r="K158" s="299"/>
      <c r="L158" s="299"/>
      <c r="M158" s="300"/>
      <c r="N158" s="17" t="s">
        <v>123</v>
      </c>
      <c r="O158" s="17"/>
      <c r="P158" s="17"/>
      <c r="Q158" s="17"/>
      <c r="R158" s="17"/>
      <c r="S158" s="17"/>
      <c r="T158" s="17"/>
      <c r="U158" s="30"/>
      <c r="V158" s="30"/>
      <c r="W158" s="30"/>
      <c r="X158" s="30"/>
      <c r="Y158" s="30"/>
      <c r="Z158" s="30"/>
      <c r="AA158" s="30"/>
      <c r="AB158" s="30"/>
      <c r="AC158" s="30"/>
      <c r="AD158" s="30"/>
      <c r="AE158" s="30"/>
      <c r="AF158" s="30"/>
      <c r="AG158" s="30"/>
      <c r="AH158" s="30"/>
      <c r="AI158" s="30"/>
      <c r="AJ158" s="30"/>
      <c r="AK158" s="30"/>
      <c r="AL158" s="17"/>
      <c r="AM158" s="17"/>
      <c r="AS158" s="62"/>
    </row>
    <row r="159" spans="2:45" ht="17.100000000000001" customHeight="1" thickBot="1">
      <c r="B159" s="17"/>
      <c r="C159" s="17"/>
      <c r="D159" s="17"/>
      <c r="E159" s="17" t="s">
        <v>22</v>
      </c>
      <c r="F159" s="17"/>
      <c r="G159" s="17"/>
      <c r="H159" s="298">
        <v>16850898</v>
      </c>
      <c r="I159" s="299"/>
      <c r="J159" s="299"/>
      <c r="K159" s="299"/>
      <c r="L159" s="299"/>
      <c r="M159" s="300"/>
      <c r="N159" s="17" t="s">
        <v>123</v>
      </c>
      <c r="O159" s="17"/>
      <c r="P159" s="17"/>
      <c r="Q159" s="17"/>
      <c r="R159" s="17"/>
      <c r="S159" s="17"/>
      <c r="T159" s="17"/>
      <c r="U159" s="30"/>
      <c r="V159" s="30"/>
      <c r="W159" s="30"/>
      <c r="X159" s="30"/>
      <c r="Y159" s="30"/>
      <c r="Z159" s="30"/>
      <c r="AA159" s="30"/>
      <c r="AB159" s="30"/>
      <c r="AC159" s="30"/>
      <c r="AD159" s="30"/>
      <c r="AE159" s="30"/>
      <c r="AF159" s="30"/>
      <c r="AG159" s="30"/>
      <c r="AH159" s="30"/>
      <c r="AI159" s="30"/>
      <c r="AJ159" s="30"/>
      <c r="AK159" s="30"/>
      <c r="AL159" s="17"/>
      <c r="AM159" s="17"/>
      <c r="AS159" s="62"/>
    </row>
    <row r="160" spans="2:45" ht="17.100000000000001" customHeight="1" thickBot="1">
      <c r="B160" s="17"/>
      <c r="C160" s="17"/>
      <c r="D160" s="17"/>
      <c r="E160" s="17" t="s">
        <v>23</v>
      </c>
      <c r="F160" s="17"/>
      <c r="G160" s="17"/>
      <c r="H160" s="298">
        <v>13111122</v>
      </c>
      <c r="I160" s="299"/>
      <c r="J160" s="299"/>
      <c r="K160" s="299"/>
      <c r="L160" s="299"/>
      <c r="M160" s="300"/>
      <c r="N160" s="17" t="s">
        <v>123</v>
      </c>
      <c r="O160" s="17"/>
      <c r="P160" s="17"/>
      <c r="Q160" s="17"/>
      <c r="R160" s="17"/>
      <c r="S160" s="17"/>
      <c r="T160" s="17"/>
      <c r="U160" s="30"/>
      <c r="V160" s="30"/>
      <c r="W160" s="30"/>
      <c r="X160" s="30"/>
      <c r="Y160" s="30"/>
      <c r="Z160" s="30"/>
      <c r="AA160" s="30"/>
      <c r="AB160" s="30"/>
      <c r="AC160" s="30"/>
      <c r="AD160" s="30"/>
      <c r="AE160" s="30"/>
      <c r="AF160" s="30"/>
      <c r="AG160" s="30"/>
      <c r="AH160" s="30"/>
      <c r="AI160" s="30"/>
      <c r="AJ160" s="30"/>
      <c r="AK160" s="30"/>
      <c r="AL160" s="17"/>
      <c r="AM160" s="17"/>
      <c r="AS160" s="62"/>
    </row>
    <row r="161" spans="2:109" ht="17.100000000000001" customHeight="1" thickBot="1">
      <c r="B161" s="17"/>
      <c r="C161" s="17"/>
      <c r="D161" s="17"/>
      <c r="E161" s="17" t="s">
        <v>24</v>
      </c>
      <c r="F161" s="17"/>
      <c r="G161" s="17"/>
      <c r="H161" s="298">
        <v>2660</v>
      </c>
      <c r="I161" s="299"/>
      <c r="J161" s="299"/>
      <c r="K161" s="299"/>
      <c r="L161" s="299"/>
      <c r="M161" s="300"/>
      <c r="N161" s="17" t="s">
        <v>123</v>
      </c>
      <c r="O161" s="17"/>
      <c r="P161" s="17"/>
      <c r="Q161" s="17"/>
      <c r="R161" s="17"/>
      <c r="S161" s="17"/>
      <c r="T161" s="17"/>
      <c r="U161" s="30"/>
      <c r="V161" s="30"/>
      <c r="W161" s="30"/>
      <c r="X161" s="30"/>
      <c r="Y161" s="30"/>
      <c r="Z161" s="30"/>
      <c r="AA161" s="30"/>
      <c r="AB161" s="30"/>
      <c r="AC161" s="30"/>
      <c r="AD161" s="30"/>
      <c r="AE161" s="30"/>
      <c r="AF161" s="30"/>
      <c r="AG161" s="30"/>
      <c r="AH161" s="30"/>
      <c r="AI161" s="30"/>
      <c r="AJ161" s="30"/>
      <c r="AK161" s="30"/>
      <c r="AL161" s="17"/>
      <c r="AM161" s="17"/>
      <c r="AS161" s="62"/>
    </row>
    <row r="162" spans="2:109" ht="17.100000000000001" customHeight="1" thickBot="1">
      <c r="B162" s="56" t="s">
        <v>249</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S162" s="62"/>
    </row>
    <row r="163" spans="2:109" ht="17.100000000000001" customHeight="1" thickBot="1">
      <c r="B163" s="19"/>
      <c r="C163" s="19" t="s">
        <v>26</v>
      </c>
      <c r="D163" s="19"/>
      <c r="E163" s="19"/>
      <c r="F163" s="19"/>
      <c r="G163" s="19"/>
      <c r="H163" s="331" t="s">
        <v>574</v>
      </c>
      <c r="I163" s="332"/>
      <c r="J163" s="332"/>
      <c r="K163" s="332"/>
      <c r="L163" s="332"/>
      <c r="M163" s="332"/>
      <c r="N163" s="332"/>
      <c r="O163" s="332"/>
      <c r="P163" s="332"/>
      <c r="Q163" s="332"/>
      <c r="R163" s="332"/>
      <c r="S163" s="332"/>
      <c r="T163" s="332"/>
      <c r="U163" s="332"/>
      <c r="V163" s="332"/>
      <c r="W163" s="332"/>
      <c r="X163" s="332"/>
      <c r="Y163" s="332"/>
      <c r="Z163" s="332"/>
      <c r="AA163" s="332"/>
      <c r="AB163" s="332"/>
      <c r="AC163" s="332"/>
      <c r="AD163" s="333"/>
      <c r="AE163" s="19"/>
      <c r="AF163" s="19"/>
      <c r="AG163" s="19"/>
      <c r="AH163" s="19"/>
      <c r="AI163" s="19"/>
      <c r="AJ163" s="19"/>
      <c r="AK163" s="19"/>
      <c r="AL163" s="19"/>
      <c r="AM163" s="19"/>
    </row>
    <row r="164" spans="2:109" ht="17.100000000000001" customHeight="1" thickBot="1">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O164" s="65"/>
      <c r="AP164" s="65"/>
      <c r="AQ164" s="65"/>
      <c r="AR164" s="65"/>
      <c r="AS164" s="65"/>
      <c r="AT164" s="65"/>
      <c r="AU164" s="65"/>
      <c r="AV164" s="65"/>
      <c r="AW164" s="65"/>
    </row>
    <row r="165" spans="2:109" ht="17.100000000000001" customHeight="1">
      <c r="B165" s="19"/>
      <c r="C165" s="19" t="s">
        <v>28</v>
      </c>
      <c r="D165" s="19"/>
      <c r="E165" s="19"/>
      <c r="F165" s="19"/>
      <c r="G165" s="19"/>
      <c r="H165" s="19"/>
      <c r="I165" s="449" t="s">
        <v>140</v>
      </c>
      <c r="J165" s="450"/>
      <c r="K165" s="450"/>
      <c r="L165" s="450"/>
      <c r="M165" s="453" t="s">
        <v>141</v>
      </c>
      <c r="N165" s="453"/>
      <c r="O165" s="453"/>
      <c r="P165" s="453"/>
      <c r="Q165" s="453"/>
      <c r="R165" s="453"/>
      <c r="S165" s="453"/>
      <c r="T165" s="453"/>
      <c r="U165" s="453"/>
      <c r="V165" s="453"/>
      <c r="W165" s="453" t="s">
        <v>142</v>
      </c>
      <c r="X165" s="453"/>
      <c r="Y165" s="453"/>
      <c r="Z165" s="453"/>
      <c r="AA165" s="453"/>
      <c r="AB165" s="453"/>
      <c r="AC165" s="453"/>
      <c r="AD165" s="453"/>
      <c r="AE165" s="453"/>
      <c r="AF165" s="453"/>
      <c r="AG165" s="453"/>
      <c r="AH165" s="453"/>
      <c r="AI165" s="593"/>
      <c r="AJ165" s="427" t="s">
        <v>145</v>
      </c>
      <c r="AK165" s="286"/>
      <c r="AL165" s="286"/>
      <c r="AM165" s="303"/>
      <c r="AO165" s="367" t="s">
        <v>615</v>
      </c>
      <c r="AP165" s="368"/>
      <c r="AQ165" s="368"/>
      <c r="AR165" s="368"/>
      <c r="AS165" s="368"/>
      <c r="AT165" s="368"/>
      <c r="AU165" s="368"/>
      <c r="AV165" s="368"/>
      <c r="AW165" s="369"/>
      <c r="BF165" s="16" t="s">
        <v>159</v>
      </c>
      <c r="CH165" s="16" t="s">
        <v>160</v>
      </c>
    </row>
    <row r="166" spans="2:109" ht="17.100000000000001" customHeight="1" thickBot="1">
      <c r="B166" s="19"/>
      <c r="C166" s="19"/>
      <c r="D166" s="19"/>
      <c r="E166" s="19"/>
      <c r="F166" s="19"/>
      <c r="G166" s="19"/>
      <c r="H166" s="19"/>
      <c r="I166" s="451"/>
      <c r="J166" s="452"/>
      <c r="K166" s="452"/>
      <c r="L166" s="452"/>
      <c r="M166" s="398" t="s">
        <v>143</v>
      </c>
      <c r="N166" s="398"/>
      <c r="O166" s="398"/>
      <c r="P166" s="398"/>
      <c r="Q166" s="398"/>
      <c r="R166" s="398" t="s">
        <v>144</v>
      </c>
      <c r="S166" s="398"/>
      <c r="T166" s="398"/>
      <c r="U166" s="398"/>
      <c r="V166" s="398"/>
      <c r="W166" s="398" t="s">
        <v>143</v>
      </c>
      <c r="X166" s="398"/>
      <c r="Y166" s="398"/>
      <c r="Z166" s="398" t="s">
        <v>144</v>
      </c>
      <c r="AA166" s="398"/>
      <c r="AB166" s="398"/>
      <c r="AC166" s="398" t="s">
        <v>150</v>
      </c>
      <c r="AD166" s="398"/>
      <c r="AE166" s="398"/>
      <c r="AF166" s="398" t="s">
        <v>149</v>
      </c>
      <c r="AG166" s="398"/>
      <c r="AH166" s="398" t="s">
        <v>148</v>
      </c>
      <c r="AI166" s="594"/>
      <c r="AJ166" s="610" t="s">
        <v>146</v>
      </c>
      <c r="AK166" s="608"/>
      <c r="AL166" s="608" t="s">
        <v>147</v>
      </c>
      <c r="AM166" s="609"/>
      <c r="AO166" s="370"/>
      <c r="AP166" s="371"/>
      <c r="AQ166" s="371"/>
      <c r="AR166" s="371"/>
      <c r="AS166" s="371"/>
      <c r="AT166" s="371"/>
      <c r="AU166" s="371"/>
      <c r="AV166" s="371"/>
      <c r="AW166" s="372"/>
      <c r="BO166" t="s">
        <v>151</v>
      </c>
      <c r="BP166" t="s">
        <v>152</v>
      </c>
      <c r="BQ166" t="s">
        <v>163</v>
      </c>
      <c r="BR166" t="s">
        <v>164</v>
      </c>
      <c r="BS166" t="s">
        <v>165</v>
      </c>
      <c r="BT166" t="s">
        <v>166</v>
      </c>
      <c r="BU166" t="s">
        <v>167</v>
      </c>
      <c r="CQ166" t="s">
        <v>151</v>
      </c>
      <c r="CR166" t="s">
        <v>152</v>
      </c>
      <c r="DA166" t="s">
        <v>206</v>
      </c>
      <c r="DB166" t="s">
        <v>207</v>
      </c>
      <c r="DC166" t="s">
        <v>205</v>
      </c>
      <c r="DD166" t="s">
        <v>208</v>
      </c>
      <c r="DE166" t="s">
        <v>209</v>
      </c>
    </row>
    <row r="167" spans="2:109" ht="17.100000000000001" customHeight="1">
      <c r="B167" s="19"/>
      <c r="C167" s="19"/>
      <c r="D167" s="19"/>
      <c r="E167" s="19" t="s">
        <v>132</v>
      </c>
      <c r="F167" s="19"/>
      <c r="G167" s="19"/>
      <c r="H167" s="429">
        <f>IF($J$5="","error",1)</f>
        <v>1</v>
      </c>
      <c r="I167" s="488" t="str">
        <f>IF($J$5="","error",$D$5&amp;CHAR(10)&amp;"("&amp;$J$5&amp;")")</f>
        <v>온실가스 저감
(폼패드 성형공정 온조기 히터시설)</v>
      </c>
      <c r="J167" s="489"/>
      <c r="K167" s="489"/>
      <c r="L167" s="489"/>
      <c r="M167" s="498" t="s">
        <v>693</v>
      </c>
      <c r="N167" s="498"/>
      <c r="O167" s="498"/>
      <c r="P167" s="498"/>
      <c r="Q167" s="498"/>
      <c r="R167" s="498" t="s">
        <v>694</v>
      </c>
      <c r="S167" s="498"/>
      <c r="T167" s="498"/>
      <c r="U167" s="498"/>
      <c r="V167" s="498"/>
      <c r="W167" s="200">
        <v>1558.7</v>
      </c>
      <c r="X167" s="201"/>
      <c r="Y167" s="202"/>
      <c r="Z167" s="200">
        <v>1428.8</v>
      </c>
      <c r="AA167" s="201"/>
      <c r="AB167" s="202"/>
      <c r="AC167" s="198">
        <f>ABS(W167-Z167)</f>
        <v>129.90000000000009</v>
      </c>
      <c r="AD167" s="500"/>
      <c r="AE167" s="199"/>
      <c r="AF167" s="198" t="str">
        <f>IF(I167="","","tCO2eq/년")</f>
        <v>tCO2eq/년</v>
      </c>
      <c r="AG167" s="199"/>
      <c r="AH167" s="183">
        <f>AC167/W167</f>
        <v>8.333867966895496E-2</v>
      </c>
      <c r="AI167" s="184"/>
      <c r="AJ167" s="365">
        <v>0.69</v>
      </c>
      <c r="AK167" s="365"/>
      <c r="AL167" s="365">
        <v>7.63</v>
      </c>
      <c r="AM167" s="611"/>
      <c r="AN167" s="172">
        <f>IF($J$5="","error",1)</f>
        <v>1</v>
      </c>
      <c r="AO167" s="370"/>
      <c r="AP167" s="371"/>
      <c r="AQ167" s="371"/>
      <c r="AR167" s="371"/>
      <c r="AS167" s="371"/>
      <c r="AT167" s="371"/>
      <c r="AU167" s="371"/>
      <c r="AV167" s="371"/>
      <c r="AW167" s="372"/>
      <c r="AX167" s="67"/>
      <c r="BE167" t="s">
        <v>154</v>
      </c>
      <c r="BF167" s="424">
        <f>IF($J$5="","error",1)</f>
        <v>1</v>
      </c>
      <c r="BG167" s="415" t="str">
        <f>$D$5</f>
        <v>온실가스 저감</v>
      </c>
      <c r="BH167" s="415"/>
      <c r="BI167" s="415"/>
      <c r="BJ167" s="415"/>
      <c r="BK167" s="415" t="str">
        <f>$J$5</f>
        <v>폼패드 성형공정 온조기 히터시설</v>
      </c>
      <c r="BL167" s="415"/>
      <c r="BM167" s="415"/>
      <c r="BN167" s="415"/>
      <c r="BO167" s="605" t="str">
        <f>IF(W168="",W167 &amp; BR167,W167 &amp; BR167 &amp; CHAR(10) &amp; "(" &amp; W168 &amp; BR168 &amp; ")")</f>
        <v>1558.7tCO2eq/년
(3392928kWh/년)</v>
      </c>
      <c r="BP167" s="605" t="str">
        <f>IF(Z168="", Z167 &amp; BR167, Z167 &amp; BR167 &amp; CHAR(10) &amp; "(" &amp; Z168 &amp; BR168 &amp; ")")</f>
        <v>1428.8tCO2eq/년
(3110184kWh/년)</v>
      </c>
      <c r="BQ167" s="605" t="str">
        <f>IF(AC168=0, AC167 &amp; BR167, AC167 &amp; BR167 &amp; CHAR(10) &amp; "(" &amp; AC168 &amp; BR168 &amp; ")")</f>
        <v>129.9tCO2eq/년
(282744kWh/년)</v>
      </c>
      <c r="BR167" s="173" t="str">
        <f>AF167</f>
        <v>tCO2eq/년</v>
      </c>
      <c r="BS167" s="414">
        <f>AH167</f>
        <v>8.333867966895496E-2</v>
      </c>
      <c r="BT167" s="413">
        <f>AJ167</f>
        <v>0.69</v>
      </c>
      <c r="BU167" s="413">
        <f>AL167</f>
        <v>7.63</v>
      </c>
      <c r="BV167">
        <v>1</v>
      </c>
      <c r="BW167" t="str">
        <f t="shared" ref="BW167:BW196" si="0">VLOOKUP($BV167,$BF$167:$BU$268,2,0)</f>
        <v>온실가스 저감</v>
      </c>
      <c r="BX167" t="str">
        <f t="shared" ref="BX167:BX196" si="1">VLOOKUP($BV167,$BF$167:$BU$268,6,0)</f>
        <v>폼패드 성형공정 온조기 히터시설</v>
      </c>
      <c r="BY167" t="str">
        <f t="shared" ref="BY167:BY196" si="2">VLOOKUP($BV167,$BF$167:$BU$268,10,0)</f>
        <v>1558.7tCO2eq/년
(3392928kWh/년)</v>
      </c>
      <c r="BZ167" t="str">
        <f t="shared" ref="BZ167:BZ196" si="3">VLOOKUP($BV167,$BF$167:$BU$268,11,0)</f>
        <v>1428.8tCO2eq/년
(3110184kWh/년)</v>
      </c>
      <c r="CA167" t="str">
        <f t="shared" ref="CA167:CA177" si="4">VLOOKUP($BV167,$BF$167:$BU$268,12,0)</f>
        <v>129.9tCO2eq/년
(282744kWh/년)</v>
      </c>
      <c r="CB167" t="str">
        <f>IF(BW167="온실가스 저감", "", VLOOKUP($BV167,$BF$167:$BU$268,13,0))</f>
        <v/>
      </c>
      <c r="CC167" s="67">
        <f t="shared" ref="CC167:CC196" si="5">VLOOKUP($BV167,$BF$167:$BU$268,14,0)</f>
        <v>8.333867966895496E-2</v>
      </c>
      <c r="CD167">
        <f t="shared" ref="CD167:CD196" si="6">VLOOKUP($BV167,$BF$167:$BU$268,15,0)</f>
        <v>0.69</v>
      </c>
      <c r="CE167">
        <f t="shared" ref="CE167:CE196" si="7">VLOOKUP($BV167,$BF$167:$BU$268,16,0)</f>
        <v>7.63</v>
      </c>
      <c r="CF167" s="402">
        <v>1</v>
      </c>
      <c r="CG167" t="s">
        <v>154</v>
      </c>
      <c r="CH167" s="619">
        <f>IF($J$5="","error",1)</f>
        <v>1</v>
      </c>
      <c r="CI167" s="620" t="str">
        <f>$D$5</f>
        <v>온실가스 저감</v>
      </c>
      <c r="CJ167" s="620"/>
      <c r="CK167" s="620"/>
      <c r="CL167" s="620"/>
      <c r="CM167" s="620" t="str">
        <f>$J$5</f>
        <v>폼패드 성형공정 온조기 히터시설</v>
      </c>
      <c r="CN167" s="620"/>
      <c r="CO167" s="620"/>
      <c r="CP167" s="621"/>
      <c r="CQ167" s="402">
        <f>$W167</f>
        <v>1558.7</v>
      </c>
      <c r="CR167" s="402">
        <f>$Z167</f>
        <v>1428.8</v>
      </c>
      <c r="CT167">
        <v>1</v>
      </c>
      <c r="CU167" t="str">
        <f t="shared" ref="CU167:CU186" si="8">VLOOKUP($CT167,$CH$167:$CP$256,2,0)</f>
        <v>온실가스 저감</v>
      </c>
      <c r="CV167" t="str">
        <f>VLOOKUP($CT167,$CH$167:$CP$256,6,0)</f>
        <v>폼패드 성형공정 온조기 히터시설</v>
      </c>
      <c r="CY167">
        <f>IF(DC167=0,0,1)</f>
        <v>1</v>
      </c>
      <c r="CZ167" s="16" t="s">
        <v>89</v>
      </c>
      <c r="DA167" s="16">
        <f>W187</f>
        <v>1941.2</v>
      </c>
      <c r="DB167" s="16">
        <f>Z187</f>
        <v>1734.8</v>
      </c>
      <c r="DC167" s="16">
        <f>AC187</f>
        <v>206.40000000000009</v>
      </c>
      <c r="DD167" s="16" t="str">
        <f>AF187</f>
        <v>tCO2eq/년</v>
      </c>
      <c r="DE167" s="68">
        <f>AH187</f>
        <v>0.10632598392746759</v>
      </c>
    </row>
    <row r="168" spans="2:109" ht="17.100000000000001" customHeight="1">
      <c r="B168" s="19"/>
      <c r="C168" s="19"/>
      <c r="D168" s="19"/>
      <c r="E168" s="19"/>
      <c r="F168" s="19"/>
      <c r="G168" s="19"/>
      <c r="H168" s="429"/>
      <c r="I168" s="321"/>
      <c r="J168" s="323"/>
      <c r="K168" s="323"/>
      <c r="L168" s="323"/>
      <c r="M168" s="326"/>
      <c r="N168" s="326"/>
      <c r="O168" s="326"/>
      <c r="P168" s="326"/>
      <c r="Q168" s="326"/>
      <c r="R168" s="326"/>
      <c r="S168" s="326"/>
      <c r="T168" s="326"/>
      <c r="U168" s="326"/>
      <c r="V168" s="326"/>
      <c r="W168" s="189">
        <v>3392928</v>
      </c>
      <c r="X168" s="190"/>
      <c r="Y168" s="191"/>
      <c r="Z168" s="189">
        <v>3110184</v>
      </c>
      <c r="AA168" s="190"/>
      <c r="AB168" s="191"/>
      <c r="AC168" s="192">
        <f t="shared" ref="AC168:AC186" si="9">ABS(W168-Z168)</f>
        <v>282744</v>
      </c>
      <c r="AD168" s="194"/>
      <c r="AE168" s="193"/>
      <c r="AF168" s="192" t="str">
        <f>IF(I167="","","kWh/년")</f>
        <v>kWh/년</v>
      </c>
      <c r="AG168" s="193"/>
      <c r="AH168" s="185">
        <f t="shared" ref="AH168:AH186" si="10">AC168/W168</f>
        <v>8.3333333333333329E-2</v>
      </c>
      <c r="AI168" s="186"/>
      <c r="AJ168" s="334"/>
      <c r="AK168" s="334"/>
      <c r="AL168" s="334"/>
      <c r="AM168" s="422"/>
      <c r="AN168" s="172">
        <f>IF($J$5="",0,AN167+1)</f>
        <v>2</v>
      </c>
      <c r="AO168" s="370"/>
      <c r="AP168" s="371"/>
      <c r="AQ168" s="371"/>
      <c r="AR168" s="371"/>
      <c r="AS168" s="371"/>
      <c r="AT168" s="371"/>
      <c r="AU168" s="371"/>
      <c r="AV168" s="371"/>
      <c r="AW168" s="372"/>
      <c r="AX168" s="67"/>
      <c r="BF168" s="424"/>
      <c r="BG168" s="415"/>
      <c r="BH168" s="415"/>
      <c r="BI168" s="415"/>
      <c r="BJ168" s="415"/>
      <c r="BK168" s="415"/>
      <c r="BL168" s="415"/>
      <c r="BM168" s="415"/>
      <c r="BN168" s="415"/>
      <c r="BO168" s="605"/>
      <c r="BP168" s="605"/>
      <c r="BQ168" s="605"/>
      <c r="BR168" s="173" t="str">
        <f t="shared" ref="BR168:BR186" si="11">AF168</f>
        <v>kWh/년</v>
      </c>
      <c r="BS168" s="413"/>
      <c r="BT168" s="413"/>
      <c r="BU168" s="413"/>
      <c r="BV168">
        <f>SUM(BV167)+1</f>
        <v>2</v>
      </c>
      <c r="BW168" t="str">
        <f t="shared" si="0"/>
        <v>온실가스 저감</v>
      </c>
      <c r="BX168" t="str">
        <f t="shared" si="1"/>
        <v>고효율 펌프 가변제어 장치</v>
      </c>
      <c r="BY168" t="str">
        <f t="shared" si="2"/>
        <v>382.5tCO2eq/년
(832524kWh/년)</v>
      </c>
      <c r="BZ168" t="str">
        <f t="shared" si="3"/>
        <v>306tCO2eq/년
(666019kWh/년)</v>
      </c>
      <c r="CA168" t="str">
        <f t="shared" si="4"/>
        <v>76.5tCO2eq/년
(166505kWh/년)</v>
      </c>
      <c r="CB168" t="str">
        <f t="shared" ref="CB168:CB196" si="12">IF(BW168="온실가스 저감", "", VLOOKUP($BV168,$BF$167:$BU$268,13,0))</f>
        <v/>
      </c>
      <c r="CC168" s="67">
        <f t="shared" si="5"/>
        <v>0.2</v>
      </c>
      <c r="CD168">
        <f t="shared" si="6"/>
        <v>0.38</v>
      </c>
      <c r="CE168">
        <f t="shared" si="7"/>
        <v>3.79</v>
      </c>
      <c r="CF168" s="402"/>
      <c r="CH168" s="614"/>
      <c r="CI168" s="415"/>
      <c r="CJ168" s="415"/>
      <c r="CK168" s="415"/>
      <c r="CL168" s="415"/>
      <c r="CM168" s="415"/>
      <c r="CN168" s="415"/>
      <c r="CO168" s="415"/>
      <c r="CP168" s="615"/>
      <c r="CQ168" s="402"/>
      <c r="CR168" s="402"/>
      <c r="CT168">
        <f>SUM(CT167)+1</f>
        <v>2</v>
      </c>
      <c r="CU168" t="str">
        <f t="shared" si="8"/>
        <v>온실가스 저감</v>
      </c>
      <c r="CV168" t="str">
        <f t="shared" ref="CV168:CV186" si="13">VLOOKUP($CT168,$CH$167:$CP$256,6,0)</f>
        <v>고효율 펌프 가변제어 장치</v>
      </c>
      <c r="CY168">
        <f>IF(DC168=0,0,SUM(CY167)+1)</f>
        <v>2</v>
      </c>
      <c r="CZ168" s="16" t="s">
        <v>77</v>
      </c>
      <c r="DA168" s="16">
        <f>W198</f>
        <v>0</v>
      </c>
      <c r="DB168" s="16">
        <f>Z198</f>
        <v>102005</v>
      </c>
      <c r="DC168" s="16">
        <f>AC198</f>
        <v>102005</v>
      </c>
      <c r="DD168" s="16" t="str">
        <f>AF198</f>
        <v>천원/년</v>
      </c>
      <c r="DE168" s="68">
        <f>AH198</f>
        <v>1</v>
      </c>
    </row>
    <row r="169" spans="2:109" ht="17.100000000000001" customHeight="1">
      <c r="B169" s="19"/>
      <c r="C169" s="19"/>
      <c r="D169" s="19"/>
      <c r="E169" s="19"/>
      <c r="F169" s="19"/>
      <c r="G169" s="19"/>
      <c r="H169" s="429">
        <f>IF($P$5="",0,$H$167+1)</f>
        <v>2</v>
      </c>
      <c r="I169" s="488" t="str">
        <f>IF($P$5="","",$D$5&amp;CHAR(10)&amp;"("&amp;$P$5&amp;")")</f>
        <v>온실가스 저감
(고효율 펌프 가변제어 장치)</v>
      </c>
      <c r="J169" s="489"/>
      <c r="K169" s="489"/>
      <c r="L169" s="489"/>
      <c r="M169" s="493" t="s">
        <v>720</v>
      </c>
      <c r="N169" s="326"/>
      <c r="O169" s="326"/>
      <c r="P169" s="326"/>
      <c r="Q169" s="326"/>
      <c r="R169" s="326" t="s">
        <v>692</v>
      </c>
      <c r="S169" s="326"/>
      <c r="T169" s="326"/>
      <c r="U169" s="326"/>
      <c r="V169" s="326"/>
      <c r="W169" s="189">
        <v>382.5</v>
      </c>
      <c r="X169" s="190"/>
      <c r="Y169" s="191"/>
      <c r="Z169" s="189">
        <v>306</v>
      </c>
      <c r="AA169" s="190"/>
      <c r="AB169" s="191"/>
      <c r="AC169" s="192">
        <f t="shared" si="9"/>
        <v>76.5</v>
      </c>
      <c r="AD169" s="194"/>
      <c r="AE169" s="193"/>
      <c r="AF169" s="192" t="str">
        <f t="shared" ref="AF169" si="14">IF(I169="","","tCO2eq/년")</f>
        <v>tCO2eq/년</v>
      </c>
      <c r="AG169" s="193"/>
      <c r="AH169" s="185">
        <f t="shared" si="10"/>
        <v>0.2</v>
      </c>
      <c r="AI169" s="186"/>
      <c r="AJ169" s="334">
        <v>0.38</v>
      </c>
      <c r="AK169" s="334"/>
      <c r="AL169" s="334">
        <v>3.79</v>
      </c>
      <c r="AM169" s="422"/>
      <c r="AN169" s="172">
        <f>IF($P$5="",0,SUM($AN$167:AN168)+1)</f>
        <v>4</v>
      </c>
      <c r="AO169" s="370"/>
      <c r="AP169" s="371"/>
      <c r="AQ169" s="371"/>
      <c r="AR169" s="371"/>
      <c r="AS169" s="371"/>
      <c r="AT169" s="371"/>
      <c r="AU169" s="371"/>
      <c r="AV169" s="371"/>
      <c r="AW169" s="372"/>
      <c r="AX169" s="67"/>
      <c r="BF169" s="424">
        <f>IF($P$5="",0,SUM(BF167)+1)</f>
        <v>2</v>
      </c>
      <c r="BG169" s="415" t="str">
        <f>IF($P$5="","-",$D$5)</f>
        <v>온실가스 저감</v>
      </c>
      <c r="BH169" s="415"/>
      <c r="BI169" s="415"/>
      <c r="BJ169" s="415"/>
      <c r="BK169" s="415" t="str">
        <f>$P$5</f>
        <v>고효율 펌프 가변제어 장치</v>
      </c>
      <c r="BL169" s="415"/>
      <c r="BM169" s="415"/>
      <c r="BN169" s="415"/>
      <c r="BO169" s="605" t="str">
        <f>IF(W170="",W169 &amp; BR169,W169 &amp; BR169 &amp; CHAR(10) &amp; "(" &amp; W170 &amp; BR170 &amp; ")")</f>
        <v>382.5tCO2eq/년
(832524kWh/년)</v>
      </c>
      <c r="BP169" s="605" t="str">
        <f t="shared" ref="BP169" si="15">IF(Z170="", Z169 &amp; BR169, Z169 &amp; BR169 &amp; CHAR(10) &amp; "(" &amp; Z170 &amp; BR170 &amp; ")")</f>
        <v>306tCO2eq/년
(666019kWh/년)</v>
      </c>
      <c r="BQ169" s="605" t="str">
        <f t="shared" ref="BQ169" si="16">IF(AC170=0, AC169 &amp; BR169, AC169 &amp; BR169 &amp; CHAR(10) &amp; "(" &amp; AC170 &amp; BR170 &amp; ")")</f>
        <v>76.5tCO2eq/년
(166505kWh/년)</v>
      </c>
      <c r="BR169" s="173" t="str">
        <f t="shared" si="11"/>
        <v>tCO2eq/년</v>
      </c>
      <c r="BS169" s="414">
        <f t="shared" ref="BS169" si="17">AH169</f>
        <v>0.2</v>
      </c>
      <c r="BT169" s="413">
        <f t="shared" ref="BT169" si="18">AJ169</f>
        <v>0.38</v>
      </c>
      <c r="BU169" s="413">
        <f t="shared" ref="BU169" si="19">AL169</f>
        <v>3.79</v>
      </c>
      <c r="BV169">
        <f>SUM($BV$167:BV168)+1</f>
        <v>4</v>
      </c>
      <c r="BW169" t="str">
        <f t="shared" si="0"/>
        <v>온실가스 저감</v>
      </c>
      <c r="BX169" t="str">
        <f t="shared" si="1"/>
        <v>합계</v>
      </c>
      <c r="BY169" t="str">
        <f t="shared" si="2"/>
        <v>1941.2tCO2eq/년(4225452kWh/년)</v>
      </c>
      <c r="BZ169" t="str">
        <f t="shared" si="3"/>
        <v>1734.8tCO2eq/년(3776203kWh/년)</v>
      </c>
      <c r="CA169" t="str">
        <f t="shared" si="4"/>
        <v>206.4tCO2eq/년(449249kWh/년)</v>
      </c>
      <c r="CB169" t="str">
        <f t="shared" si="12"/>
        <v/>
      </c>
      <c r="CC169" s="67">
        <f t="shared" si="5"/>
        <v>0.10632598392746759</v>
      </c>
      <c r="CD169">
        <f t="shared" si="6"/>
        <v>0</v>
      </c>
      <c r="CE169">
        <f t="shared" si="7"/>
        <v>0</v>
      </c>
      <c r="CF169" s="402">
        <f>SUM(CF167)*2</f>
        <v>2</v>
      </c>
      <c r="CH169" s="614">
        <f>IF($P$5="",0,SUM(CH167+1))</f>
        <v>2</v>
      </c>
      <c r="CI169" s="415" t="str">
        <f>IF($P$5="","-",$D$5)</f>
        <v>온실가스 저감</v>
      </c>
      <c r="CJ169" s="415"/>
      <c r="CK169" s="415"/>
      <c r="CL169" s="415"/>
      <c r="CM169" s="415" t="str">
        <f>$P$5</f>
        <v>고효율 펌프 가변제어 장치</v>
      </c>
      <c r="CN169" s="415"/>
      <c r="CO169" s="415"/>
      <c r="CP169" s="615"/>
      <c r="CQ169" s="402">
        <f t="shared" ref="CQ169" si="20">$W169</f>
        <v>382.5</v>
      </c>
      <c r="CR169" s="402">
        <f t="shared" ref="CR169" si="21">$Z169</f>
        <v>306</v>
      </c>
      <c r="CT169">
        <f>SUM($CT$167:CT168)+1</f>
        <v>4</v>
      </c>
      <c r="CU169" t="str">
        <f t="shared" si="8"/>
        <v>ICT</v>
      </c>
      <c r="CV169" t="str">
        <f t="shared" si="13"/>
        <v>사업성과 모니터링시스템</v>
      </c>
      <c r="CY169">
        <f>IF(DC169=0,0,SUM($CY$167:CY168)+1)</f>
        <v>4</v>
      </c>
      <c r="CZ169" s="16" t="s">
        <v>78</v>
      </c>
      <c r="DA169" s="16">
        <f>W209</f>
        <v>8.5000000000000006E-3</v>
      </c>
      <c r="DB169" s="16">
        <f>Z209</f>
        <v>8.4999999999999995E-4</v>
      </c>
      <c r="DC169" s="16">
        <f>AC209</f>
        <v>7.6500000000000005E-3</v>
      </c>
      <c r="DD169" s="16" t="str">
        <f>AF209</f>
        <v>ppm</v>
      </c>
      <c r="DE169" s="68">
        <f>AH209</f>
        <v>0.9</v>
      </c>
    </row>
    <row r="170" spans="2:109" ht="17.100000000000001" customHeight="1">
      <c r="B170" s="19"/>
      <c r="C170" s="19"/>
      <c r="D170" s="19"/>
      <c r="E170" s="19"/>
      <c r="F170" s="19"/>
      <c r="G170" s="19"/>
      <c r="H170" s="429"/>
      <c r="I170" s="321"/>
      <c r="J170" s="323"/>
      <c r="K170" s="323"/>
      <c r="L170" s="323"/>
      <c r="M170" s="326"/>
      <c r="N170" s="326"/>
      <c r="O170" s="326"/>
      <c r="P170" s="326"/>
      <c r="Q170" s="326"/>
      <c r="R170" s="326"/>
      <c r="S170" s="326"/>
      <c r="T170" s="326"/>
      <c r="U170" s="326"/>
      <c r="V170" s="326"/>
      <c r="W170" s="189">
        <v>832524</v>
      </c>
      <c r="X170" s="190"/>
      <c r="Y170" s="191"/>
      <c r="Z170" s="189">
        <v>666019</v>
      </c>
      <c r="AA170" s="190"/>
      <c r="AB170" s="191"/>
      <c r="AC170" s="192">
        <f t="shared" si="9"/>
        <v>166505</v>
      </c>
      <c r="AD170" s="194"/>
      <c r="AE170" s="193"/>
      <c r="AF170" s="192" t="str">
        <f>IF(I169="","","kWh/년")</f>
        <v>kWh/년</v>
      </c>
      <c r="AG170" s="193"/>
      <c r="AH170" s="185">
        <f t="shared" si="10"/>
        <v>0.20000024023331459</v>
      </c>
      <c r="AI170" s="186"/>
      <c r="AJ170" s="334"/>
      <c r="AK170" s="334"/>
      <c r="AL170" s="334"/>
      <c r="AM170" s="422"/>
      <c r="AN170" s="172">
        <f>IF($P$5="",0,SUM($AN$167:AN169)+1)</f>
        <v>8</v>
      </c>
      <c r="AO170" s="370"/>
      <c r="AP170" s="371"/>
      <c r="AQ170" s="371"/>
      <c r="AR170" s="371"/>
      <c r="AS170" s="371"/>
      <c r="AT170" s="371"/>
      <c r="AU170" s="371"/>
      <c r="AV170" s="371"/>
      <c r="AW170" s="372"/>
      <c r="AX170" s="67"/>
      <c r="BF170" s="424"/>
      <c r="BG170" s="415"/>
      <c r="BH170" s="415"/>
      <c r="BI170" s="415"/>
      <c r="BJ170" s="415"/>
      <c r="BK170" s="415"/>
      <c r="BL170" s="415"/>
      <c r="BM170" s="415"/>
      <c r="BN170" s="415"/>
      <c r="BO170" s="605"/>
      <c r="BP170" s="605"/>
      <c r="BQ170" s="605"/>
      <c r="BR170" s="173" t="str">
        <f t="shared" si="11"/>
        <v>kWh/년</v>
      </c>
      <c r="BS170" s="413"/>
      <c r="BT170" s="413"/>
      <c r="BU170" s="413"/>
      <c r="BV170">
        <f>SUM($BV$167:BV169)+1</f>
        <v>8</v>
      </c>
      <c r="BW170" t="str">
        <f t="shared" si="0"/>
        <v>ICT</v>
      </c>
      <c r="BX170" t="str">
        <f t="shared" si="1"/>
        <v>사업성과 모니터링시스템</v>
      </c>
      <c r="BY170">
        <f t="shared" si="2"/>
        <v>0</v>
      </c>
      <c r="BZ170">
        <f t="shared" si="3"/>
        <v>102005</v>
      </c>
      <c r="CA170">
        <f t="shared" si="4"/>
        <v>102005</v>
      </c>
      <c r="CB170" t="str">
        <f t="shared" si="12"/>
        <v>천원/년</v>
      </c>
      <c r="CC170" s="67">
        <f t="shared" si="5"/>
        <v>1</v>
      </c>
      <c r="CD170">
        <f t="shared" si="6"/>
        <v>0.63</v>
      </c>
      <c r="CE170">
        <f t="shared" si="7"/>
        <v>7.51</v>
      </c>
      <c r="CF170" s="402"/>
      <c r="CH170" s="614"/>
      <c r="CI170" s="415"/>
      <c r="CJ170" s="415"/>
      <c r="CK170" s="415"/>
      <c r="CL170" s="415"/>
      <c r="CM170" s="415"/>
      <c r="CN170" s="415"/>
      <c r="CO170" s="415"/>
      <c r="CP170" s="615"/>
      <c r="CQ170" s="402"/>
      <c r="CR170" s="402"/>
      <c r="CT170">
        <f>SUM($CT$167:CT169)+1</f>
        <v>8</v>
      </c>
      <c r="CU170" t="str">
        <f t="shared" si="8"/>
        <v>대기오염 저감</v>
      </c>
      <c r="CV170" t="str">
        <f t="shared" si="13"/>
        <v>고효율 여과 집진시설</v>
      </c>
      <c r="CY170">
        <f>IF(DC170=0,0,SUM($CY$167:CY169)+1)</f>
        <v>0</v>
      </c>
      <c r="CZ170" s="16" t="s">
        <v>79</v>
      </c>
      <c r="DA170" s="16">
        <f>W220</f>
        <v>0</v>
      </c>
      <c r="DB170" s="16">
        <f>Z220</f>
        <v>0</v>
      </c>
      <c r="DC170" s="16">
        <f>AC220</f>
        <v>0</v>
      </c>
      <c r="DD170" s="16" t="str">
        <f>AF220</f>
        <v>ton/년</v>
      </c>
      <c r="DE170" s="68" t="e">
        <f>AH220</f>
        <v>#DIV/0!</v>
      </c>
    </row>
    <row r="171" spans="2:109" ht="17.100000000000001" customHeight="1">
      <c r="B171" s="19"/>
      <c r="C171" s="19"/>
      <c r="D171" s="19"/>
      <c r="E171" s="19"/>
      <c r="F171" s="19"/>
      <c r="G171" s="19"/>
      <c r="H171" s="429">
        <f>IF($V$5="",0,SUM($H$167:H170)+1)</f>
        <v>0</v>
      </c>
      <c r="I171" s="488" t="str">
        <f>IF($V$5="","",$D$5&amp;CHAR(10)&amp;"("&amp;$V$5&amp;")")</f>
        <v/>
      </c>
      <c r="J171" s="489"/>
      <c r="K171" s="489"/>
      <c r="L171" s="489"/>
      <c r="M171" s="326"/>
      <c r="N171" s="326"/>
      <c r="O171" s="326"/>
      <c r="P171" s="326"/>
      <c r="Q171" s="326"/>
      <c r="R171" s="326"/>
      <c r="S171" s="326"/>
      <c r="T171" s="326"/>
      <c r="U171" s="326"/>
      <c r="V171" s="326"/>
      <c r="W171" s="189"/>
      <c r="X171" s="190"/>
      <c r="Y171" s="191"/>
      <c r="Z171" s="189"/>
      <c r="AA171" s="190"/>
      <c r="AB171" s="191"/>
      <c r="AC171" s="192">
        <f t="shared" si="9"/>
        <v>0</v>
      </c>
      <c r="AD171" s="194"/>
      <c r="AE171" s="193"/>
      <c r="AF171" s="192" t="str">
        <f t="shared" ref="AF171" si="22">IF(I171="","","tCO2eq/년")</f>
        <v/>
      </c>
      <c r="AG171" s="193"/>
      <c r="AH171" s="185" t="e">
        <f t="shared" si="10"/>
        <v>#DIV/0!</v>
      </c>
      <c r="AI171" s="186"/>
      <c r="AJ171" s="334"/>
      <c r="AK171" s="334"/>
      <c r="AL171" s="334"/>
      <c r="AM171" s="422"/>
      <c r="AN171" s="172">
        <f>IF($V$5="",0,SUM($AN$167:AN170)+1)</f>
        <v>0</v>
      </c>
      <c r="AO171" s="370"/>
      <c r="AP171" s="371"/>
      <c r="AQ171" s="371"/>
      <c r="AR171" s="371"/>
      <c r="AS171" s="371"/>
      <c r="AT171" s="371"/>
      <c r="AU171" s="371"/>
      <c r="AV171" s="371"/>
      <c r="AW171" s="372"/>
      <c r="AX171" s="67"/>
      <c r="BF171" s="424">
        <f>IF($V$5="",0,SUM($BF$167:BF170)+1)</f>
        <v>0</v>
      </c>
      <c r="BG171" s="415" t="str">
        <f>IF($V$5="","-",$D$5)</f>
        <v>-</v>
      </c>
      <c r="BH171" s="415"/>
      <c r="BI171" s="415"/>
      <c r="BJ171" s="415"/>
      <c r="BK171" s="415">
        <f>$V$5</f>
        <v>0</v>
      </c>
      <c r="BL171" s="415"/>
      <c r="BM171" s="415"/>
      <c r="BN171" s="415"/>
      <c r="BO171" s="605" t="str">
        <f>IF(W172="",W171 &amp; BR171,W171 &amp; BR171 &amp; CHAR(10) &amp; "(" &amp; W172 &amp; BR172 &amp; ")")</f>
        <v/>
      </c>
      <c r="BP171" s="605" t="str">
        <f t="shared" ref="BP171" si="23">IF(Z172="", Z171 &amp; BR171, Z171 &amp; BR171 &amp; CHAR(10) &amp; "(" &amp; Z172 &amp; BR172 &amp; ")")</f>
        <v/>
      </c>
      <c r="BQ171" s="605" t="str">
        <f t="shared" ref="BQ171" si="24">IF(AC172=0, AC171 &amp; BR171, AC171 &amp; BR171 &amp; CHAR(10) &amp; "(" &amp; AC172 &amp; BR172 &amp; ")")</f>
        <v>0</v>
      </c>
      <c r="BR171" s="173" t="str">
        <f t="shared" si="11"/>
        <v/>
      </c>
      <c r="BS171" s="414" t="e">
        <f t="shared" ref="BS171" si="25">AH171</f>
        <v>#DIV/0!</v>
      </c>
      <c r="BT171" s="413">
        <f t="shared" ref="BT171" si="26">AJ171</f>
        <v>0</v>
      </c>
      <c r="BU171" s="413">
        <f t="shared" ref="BU171" si="27">AL171</f>
        <v>0</v>
      </c>
      <c r="BV171">
        <f>SUM($BV$167:BV170)+1</f>
        <v>16</v>
      </c>
      <c r="BW171" t="str">
        <f t="shared" si="0"/>
        <v>ICT</v>
      </c>
      <c r="BX171" t="str">
        <f t="shared" si="1"/>
        <v>합계</v>
      </c>
      <c r="BY171">
        <f t="shared" si="2"/>
        <v>0</v>
      </c>
      <c r="BZ171">
        <f t="shared" si="3"/>
        <v>102005</v>
      </c>
      <c r="CA171">
        <f t="shared" si="4"/>
        <v>102005</v>
      </c>
      <c r="CB171" t="str">
        <f t="shared" si="12"/>
        <v>천원/년</v>
      </c>
      <c r="CC171" s="67">
        <f t="shared" si="5"/>
        <v>1</v>
      </c>
      <c r="CD171">
        <f t="shared" si="6"/>
        <v>0</v>
      </c>
      <c r="CE171">
        <f t="shared" si="7"/>
        <v>0</v>
      </c>
      <c r="CF171" s="402">
        <f>SUM($CF$167:CF170)*2</f>
        <v>6</v>
      </c>
      <c r="CH171" s="614">
        <f>IF($V$5="",0,SUM($CH$167:CH170)+1)</f>
        <v>0</v>
      </c>
      <c r="CI171" s="415" t="str">
        <f>IF($V$5="","-",$D$5)</f>
        <v>-</v>
      </c>
      <c r="CJ171" s="415"/>
      <c r="CK171" s="415"/>
      <c r="CL171" s="415"/>
      <c r="CM171" s="415">
        <f>$V$5</f>
        <v>0</v>
      </c>
      <c r="CN171" s="415"/>
      <c r="CO171" s="415"/>
      <c r="CP171" s="615"/>
      <c r="CQ171" s="402">
        <f t="shared" ref="CQ171" si="28">$W171</f>
        <v>0</v>
      </c>
      <c r="CR171" s="402">
        <f t="shared" ref="CR171" si="29">$Z171</f>
        <v>0</v>
      </c>
      <c r="CT171">
        <f>SUM($CT$167:CT170)+1</f>
        <v>16</v>
      </c>
      <c r="CU171" t="str">
        <f t="shared" si="8"/>
        <v>폐기물배출 저감</v>
      </c>
      <c r="CV171" t="str">
        <f t="shared" si="13"/>
        <v>발포라인 딥러닝 시스템</v>
      </c>
      <c r="CY171">
        <f>IF(DC171=0,0,SUM($CY$167:CY170)+1)</f>
        <v>8</v>
      </c>
      <c r="CZ171" s="16" t="s">
        <v>80</v>
      </c>
      <c r="DA171" s="16">
        <f>W231</f>
        <v>3.5</v>
      </c>
      <c r="DB171" s="16">
        <f>Z231</f>
        <v>0.7</v>
      </c>
      <c r="DC171" s="16">
        <f>AC231</f>
        <v>2.8</v>
      </c>
      <c r="DD171" s="16" t="str">
        <f>AF231</f>
        <v>ton/년</v>
      </c>
      <c r="DE171" s="68">
        <f>AH231</f>
        <v>0.79999999999999993</v>
      </c>
    </row>
    <row r="172" spans="2:109" ht="17.100000000000001" customHeight="1">
      <c r="B172" s="19"/>
      <c r="C172" s="19"/>
      <c r="D172" s="19"/>
      <c r="E172" s="19"/>
      <c r="F172" s="19"/>
      <c r="G172" s="19"/>
      <c r="H172" s="429"/>
      <c r="I172" s="321"/>
      <c r="J172" s="323"/>
      <c r="K172" s="323"/>
      <c r="L172" s="323"/>
      <c r="M172" s="326"/>
      <c r="N172" s="326"/>
      <c r="O172" s="326"/>
      <c r="P172" s="326"/>
      <c r="Q172" s="326"/>
      <c r="R172" s="326"/>
      <c r="S172" s="326"/>
      <c r="T172" s="326"/>
      <c r="U172" s="326"/>
      <c r="V172" s="326"/>
      <c r="W172" s="189"/>
      <c r="X172" s="190"/>
      <c r="Y172" s="191"/>
      <c r="Z172" s="189"/>
      <c r="AA172" s="190"/>
      <c r="AB172" s="191"/>
      <c r="AC172" s="192">
        <f t="shared" si="9"/>
        <v>0</v>
      </c>
      <c r="AD172" s="194"/>
      <c r="AE172" s="193"/>
      <c r="AF172" s="192" t="str">
        <f>IF(I171="","","kWh/년")</f>
        <v/>
      </c>
      <c r="AG172" s="193"/>
      <c r="AH172" s="185" t="e">
        <f t="shared" si="10"/>
        <v>#DIV/0!</v>
      </c>
      <c r="AI172" s="186"/>
      <c r="AJ172" s="334"/>
      <c r="AK172" s="334"/>
      <c r="AL172" s="334"/>
      <c r="AM172" s="422"/>
      <c r="AN172" s="172">
        <f>IF($V$5="",0,SUM($AN$167:AN171)+1)</f>
        <v>0</v>
      </c>
      <c r="AO172" s="370"/>
      <c r="AP172" s="371"/>
      <c r="AQ172" s="371"/>
      <c r="AR172" s="371"/>
      <c r="AS172" s="371"/>
      <c r="AT172" s="371"/>
      <c r="AU172" s="371"/>
      <c r="AV172" s="371"/>
      <c r="AW172" s="372"/>
      <c r="AX172" s="67"/>
      <c r="BF172" s="424"/>
      <c r="BG172" s="415"/>
      <c r="BH172" s="415"/>
      <c r="BI172" s="415"/>
      <c r="BJ172" s="415"/>
      <c r="BK172" s="415"/>
      <c r="BL172" s="415"/>
      <c r="BM172" s="415"/>
      <c r="BN172" s="415"/>
      <c r="BO172" s="605"/>
      <c r="BP172" s="605"/>
      <c r="BQ172" s="605"/>
      <c r="BR172" s="173" t="str">
        <f t="shared" si="11"/>
        <v/>
      </c>
      <c r="BS172" s="413"/>
      <c r="BT172" s="413"/>
      <c r="BU172" s="413"/>
      <c r="BV172">
        <f>SUM($BV$167:BV171)+1</f>
        <v>32</v>
      </c>
      <c r="BW172" t="str">
        <f t="shared" si="0"/>
        <v>대기오염 저감</v>
      </c>
      <c r="BX172" t="str">
        <f t="shared" si="1"/>
        <v>고효율 여과 집진시설</v>
      </c>
      <c r="BY172">
        <f t="shared" si="2"/>
        <v>8.5000000000000006E-3</v>
      </c>
      <c r="BZ172">
        <f t="shared" si="3"/>
        <v>8.4999999999999995E-4</v>
      </c>
      <c r="CA172">
        <f t="shared" si="4"/>
        <v>7.6500000000000005E-3</v>
      </c>
      <c r="CB172" t="str">
        <f t="shared" si="12"/>
        <v>ppm</v>
      </c>
      <c r="CC172" s="67">
        <f t="shared" si="5"/>
        <v>0.9</v>
      </c>
      <c r="CD172">
        <f t="shared" si="6"/>
        <v>0.53</v>
      </c>
      <c r="CE172">
        <f t="shared" si="7"/>
        <v>6.38</v>
      </c>
      <c r="CF172" s="402"/>
      <c r="CH172" s="614"/>
      <c r="CI172" s="415"/>
      <c r="CJ172" s="415"/>
      <c r="CK172" s="415"/>
      <c r="CL172" s="415"/>
      <c r="CM172" s="415"/>
      <c r="CN172" s="415"/>
      <c r="CO172" s="415"/>
      <c r="CP172" s="615"/>
      <c r="CQ172" s="402"/>
      <c r="CR172" s="402"/>
      <c r="CT172">
        <f>SUM($CT$167:CT171)+1</f>
        <v>32</v>
      </c>
      <c r="CU172" t="str">
        <f t="shared" si="8"/>
        <v>자원순환</v>
      </c>
      <c r="CV172" t="str">
        <f t="shared" si="13"/>
        <v>빗물 재이용시설</v>
      </c>
      <c r="CY172">
        <f>IF(DC172=0,0,SUM($CY$167:CY171)+1)</f>
        <v>16</v>
      </c>
      <c r="CZ172" s="16" t="s">
        <v>81</v>
      </c>
      <c r="DA172" s="16">
        <f>W242</f>
        <v>0</v>
      </c>
      <c r="DB172" s="16">
        <f>Z242</f>
        <v>257.39999999999998</v>
      </c>
      <c r="DC172" s="16">
        <f>AC242</f>
        <v>257.39999999999998</v>
      </c>
      <c r="DD172" s="16" t="str">
        <f>AF242</f>
        <v>ton/년</v>
      </c>
      <c r="DE172" s="68">
        <f>AH242</f>
        <v>1</v>
      </c>
    </row>
    <row r="173" spans="2:109" ht="17.100000000000001" customHeight="1">
      <c r="B173" s="19"/>
      <c r="C173" s="19"/>
      <c r="D173" s="19"/>
      <c r="E173" s="19"/>
      <c r="F173" s="19"/>
      <c r="G173" s="19"/>
      <c r="H173" s="429">
        <f>IF($AB$5="",0,SUM($H$167:H172)+1)</f>
        <v>0</v>
      </c>
      <c r="I173" s="488" t="str">
        <f>IF($AB$5="","",$D$5&amp;CHAR(10)&amp;"("&amp;$AB$5&amp;")")</f>
        <v/>
      </c>
      <c r="J173" s="489"/>
      <c r="K173" s="489"/>
      <c r="L173" s="489"/>
      <c r="M173" s="326"/>
      <c r="N173" s="326"/>
      <c r="O173" s="326"/>
      <c r="P173" s="326"/>
      <c r="Q173" s="326"/>
      <c r="R173" s="326"/>
      <c r="S173" s="326"/>
      <c r="T173" s="326"/>
      <c r="U173" s="326"/>
      <c r="V173" s="326"/>
      <c r="W173" s="189"/>
      <c r="X173" s="190"/>
      <c r="Y173" s="191"/>
      <c r="Z173" s="189"/>
      <c r="AA173" s="190"/>
      <c r="AB173" s="191"/>
      <c r="AC173" s="192">
        <f t="shared" si="9"/>
        <v>0</v>
      </c>
      <c r="AD173" s="194"/>
      <c r="AE173" s="193"/>
      <c r="AF173" s="192" t="str">
        <f t="shared" ref="AF173" si="30">IF(I173="","","tCO2eq/년")</f>
        <v/>
      </c>
      <c r="AG173" s="193"/>
      <c r="AH173" s="185" t="e">
        <f t="shared" si="10"/>
        <v>#DIV/0!</v>
      </c>
      <c r="AI173" s="186"/>
      <c r="AJ173" s="334"/>
      <c r="AK173" s="334"/>
      <c r="AL173" s="334"/>
      <c r="AM173" s="422"/>
      <c r="AN173" s="172">
        <f>IF($AB$5="",0,SUM($AN$167:AN172)+1)</f>
        <v>0</v>
      </c>
      <c r="AO173" s="370"/>
      <c r="AP173" s="371"/>
      <c r="AQ173" s="371"/>
      <c r="AR173" s="371"/>
      <c r="AS173" s="371"/>
      <c r="AT173" s="371"/>
      <c r="AU173" s="371"/>
      <c r="AV173" s="371"/>
      <c r="AW173" s="372"/>
      <c r="AX173" s="67"/>
      <c r="BF173" s="424">
        <f>IF($AB$5="",0,SUM($BF$167:BF172)+1)</f>
        <v>0</v>
      </c>
      <c r="BG173" s="415" t="str">
        <f>IF($AB$5="","-",$D$5)</f>
        <v>-</v>
      </c>
      <c r="BH173" s="415"/>
      <c r="BI173" s="415"/>
      <c r="BJ173" s="415"/>
      <c r="BK173" s="415">
        <f>$AB$5</f>
        <v>0</v>
      </c>
      <c r="BL173" s="415"/>
      <c r="BM173" s="415"/>
      <c r="BN173" s="415"/>
      <c r="BO173" s="605" t="str">
        <f t="shared" ref="BO173" si="31">IF(W174="",W173 &amp; BR173,W173 &amp; BR173 &amp; CHAR(10) &amp; "(" &amp; W174 &amp; BR174 &amp; ")")</f>
        <v/>
      </c>
      <c r="BP173" s="605" t="str">
        <f t="shared" ref="BP173" si="32">IF(Z174="", Z173 &amp; BR173, Z173 &amp; BR173 &amp; CHAR(10) &amp; "(" &amp; Z174 &amp; BR174 &amp; ")")</f>
        <v/>
      </c>
      <c r="BQ173" s="605" t="str">
        <f t="shared" ref="BQ173" si="33">IF(AC174=0, AC173 &amp; BR173, AC173 &amp; BR173 &amp; CHAR(10) &amp; "(" &amp; AC174 &amp; BR174 &amp; ")")</f>
        <v>0</v>
      </c>
      <c r="BR173" s="173" t="str">
        <f t="shared" si="11"/>
        <v/>
      </c>
      <c r="BS173" s="414" t="e">
        <f t="shared" ref="BS173" si="34">AH173</f>
        <v>#DIV/0!</v>
      </c>
      <c r="BT173" s="413">
        <f t="shared" ref="BT173" si="35">AJ173</f>
        <v>0</v>
      </c>
      <c r="BU173" s="413">
        <f t="shared" ref="BU173" si="36">AL173</f>
        <v>0</v>
      </c>
      <c r="BV173">
        <f>SUM($BV$167:BV172)+1</f>
        <v>64</v>
      </c>
      <c r="BW173" t="str">
        <f t="shared" si="0"/>
        <v>대기오염 저감</v>
      </c>
      <c r="BX173" t="str">
        <f t="shared" si="1"/>
        <v>합계</v>
      </c>
      <c r="BY173">
        <f t="shared" si="2"/>
        <v>8.5000000000000006E-3</v>
      </c>
      <c r="BZ173">
        <f t="shared" si="3"/>
        <v>8.4999999999999995E-4</v>
      </c>
      <c r="CA173">
        <f t="shared" si="4"/>
        <v>7.6500000000000005E-3</v>
      </c>
      <c r="CB173" t="str">
        <f t="shared" si="12"/>
        <v>ppm</v>
      </c>
      <c r="CC173" s="67">
        <f t="shared" si="5"/>
        <v>0.9</v>
      </c>
      <c r="CD173">
        <f t="shared" si="6"/>
        <v>0</v>
      </c>
      <c r="CE173">
        <f t="shared" si="7"/>
        <v>0</v>
      </c>
      <c r="CF173" s="402">
        <f>SUM($CF$167:CF172)*2</f>
        <v>18</v>
      </c>
      <c r="CH173" s="614">
        <f>IF($AB$5="",0,SUM($CH$167:CH172)+1)</f>
        <v>0</v>
      </c>
      <c r="CI173" s="415" t="str">
        <f>IF($AB$5="","-",$D$5)</f>
        <v>-</v>
      </c>
      <c r="CJ173" s="415"/>
      <c r="CK173" s="415"/>
      <c r="CL173" s="415"/>
      <c r="CM173" s="415">
        <f>$AB$5</f>
        <v>0</v>
      </c>
      <c r="CN173" s="415"/>
      <c r="CO173" s="415"/>
      <c r="CP173" s="615"/>
      <c r="CQ173" s="402">
        <f t="shared" ref="CQ173" si="37">$W173</f>
        <v>0</v>
      </c>
      <c r="CR173" s="402">
        <f t="shared" ref="CR173" si="38">$Z173</f>
        <v>0</v>
      </c>
      <c r="CT173">
        <f>SUM($CT$167:CT172)+1</f>
        <v>64</v>
      </c>
      <c r="CU173" t="e">
        <f t="shared" si="8"/>
        <v>#N/A</v>
      </c>
      <c r="CV173" t="e">
        <f t="shared" si="13"/>
        <v>#N/A</v>
      </c>
      <c r="CY173">
        <f>IF(DC173=0,0,SUM($CY$167:CY172)+1)</f>
        <v>0</v>
      </c>
      <c r="CZ173" s="16" t="s">
        <v>112</v>
      </c>
      <c r="DA173" s="16">
        <f>W253</f>
        <v>0</v>
      </c>
      <c r="DB173" s="16">
        <f>Z253</f>
        <v>0</v>
      </c>
      <c r="DC173" s="16">
        <f>AC253</f>
        <v>0</v>
      </c>
      <c r="DD173" s="69" t="str">
        <f>AF253</f>
        <v>dB</v>
      </c>
      <c r="DE173" s="68" t="e">
        <f>AH253</f>
        <v>#DIV/0!</v>
      </c>
    </row>
    <row r="174" spans="2:109" ht="17.100000000000001" customHeight="1">
      <c r="B174" s="19"/>
      <c r="C174" s="19"/>
      <c r="D174" s="19"/>
      <c r="E174" s="19"/>
      <c r="F174" s="19"/>
      <c r="G174" s="19"/>
      <c r="H174" s="429"/>
      <c r="I174" s="321"/>
      <c r="J174" s="323"/>
      <c r="K174" s="323"/>
      <c r="L174" s="323"/>
      <c r="M174" s="326"/>
      <c r="N174" s="326"/>
      <c r="O174" s="326"/>
      <c r="P174" s="326"/>
      <c r="Q174" s="326"/>
      <c r="R174" s="326"/>
      <c r="S174" s="326"/>
      <c r="T174" s="326"/>
      <c r="U174" s="326"/>
      <c r="V174" s="326"/>
      <c r="W174" s="189"/>
      <c r="X174" s="190"/>
      <c r="Y174" s="191"/>
      <c r="Z174" s="189"/>
      <c r="AA174" s="190"/>
      <c r="AB174" s="191"/>
      <c r="AC174" s="192">
        <f t="shared" si="9"/>
        <v>0</v>
      </c>
      <c r="AD174" s="194"/>
      <c r="AE174" s="193"/>
      <c r="AF174" s="192" t="str">
        <f>IF(I173="","","kWh/년")</f>
        <v/>
      </c>
      <c r="AG174" s="193"/>
      <c r="AH174" s="185" t="e">
        <f t="shared" si="10"/>
        <v>#DIV/0!</v>
      </c>
      <c r="AI174" s="186"/>
      <c r="AJ174" s="334"/>
      <c r="AK174" s="334"/>
      <c r="AL174" s="334"/>
      <c r="AM174" s="422"/>
      <c r="AN174" s="172">
        <f>IF($AB$5="",0,SUM($AN$167:AN173)+1)</f>
        <v>0</v>
      </c>
      <c r="AO174" s="370"/>
      <c r="AP174" s="371"/>
      <c r="AQ174" s="371"/>
      <c r="AR174" s="371"/>
      <c r="AS174" s="371"/>
      <c r="AT174" s="371"/>
      <c r="AU174" s="371"/>
      <c r="AV174" s="371"/>
      <c r="AW174" s="372"/>
      <c r="AX174" s="67"/>
      <c r="BF174" s="424"/>
      <c r="BG174" s="415"/>
      <c r="BH174" s="415"/>
      <c r="BI174" s="415"/>
      <c r="BJ174" s="415"/>
      <c r="BK174" s="415"/>
      <c r="BL174" s="415"/>
      <c r="BM174" s="415"/>
      <c r="BN174" s="415"/>
      <c r="BO174" s="605"/>
      <c r="BP174" s="605"/>
      <c r="BQ174" s="605"/>
      <c r="BR174" s="173" t="str">
        <f t="shared" si="11"/>
        <v/>
      </c>
      <c r="BS174" s="413"/>
      <c r="BT174" s="413"/>
      <c r="BU174" s="413"/>
      <c r="BV174">
        <f>SUM($BV$167:BV173)+1</f>
        <v>128</v>
      </c>
      <c r="BW174" t="str">
        <f t="shared" si="0"/>
        <v>폐기물배출 저감</v>
      </c>
      <c r="BX174" t="str">
        <f t="shared" si="1"/>
        <v>발포라인 딥러닝 시스템</v>
      </c>
      <c r="BY174">
        <f t="shared" si="2"/>
        <v>3.5</v>
      </c>
      <c r="BZ174">
        <f t="shared" si="3"/>
        <v>0.7</v>
      </c>
      <c r="CA174">
        <f t="shared" si="4"/>
        <v>2.8</v>
      </c>
      <c r="CB174" t="str">
        <f t="shared" si="12"/>
        <v>ton/년</v>
      </c>
      <c r="CC174" s="67">
        <f t="shared" si="5"/>
        <v>0.79999999999999993</v>
      </c>
      <c r="CD174">
        <f t="shared" si="6"/>
        <v>0.56000000000000005</v>
      </c>
      <c r="CE174">
        <f t="shared" si="7"/>
        <v>4.5199999999999996</v>
      </c>
      <c r="CF174" s="402"/>
      <c r="CH174" s="614"/>
      <c r="CI174" s="415"/>
      <c r="CJ174" s="415"/>
      <c r="CK174" s="415"/>
      <c r="CL174" s="415"/>
      <c r="CM174" s="415"/>
      <c r="CN174" s="415"/>
      <c r="CO174" s="415"/>
      <c r="CP174" s="615"/>
      <c r="CQ174" s="402"/>
      <c r="CR174" s="402"/>
      <c r="CT174">
        <f>SUM($CT$167:CT173)+1</f>
        <v>128</v>
      </c>
      <c r="CU174" t="e">
        <f t="shared" si="8"/>
        <v>#N/A</v>
      </c>
      <c r="CV174" t="e">
        <f t="shared" si="13"/>
        <v>#N/A</v>
      </c>
      <c r="CY174">
        <f>IF(DC174=0,0,SUM($CY$167:CY173)+1)</f>
        <v>0</v>
      </c>
      <c r="CZ174" s="16" t="s">
        <v>113</v>
      </c>
      <c r="DA174" s="16">
        <f>W254</f>
        <v>0</v>
      </c>
      <c r="DB174" s="16">
        <f>Z254</f>
        <v>0</v>
      </c>
      <c r="DC174" s="16">
        <f>AC254</f>
        <v>0</v>
      </c>
      <c r="DD174" s="69" t="str">
        <f>AF254</f>
        <v>배</v>
      </c>
      <c r="DE174" s="68" t="e">
        <f>AH254</f>
        <v>#DIV/0!</v>
      </c>
    </row>
    <row r="175" spans="2:109" ht="17.100000000000001" customHeight="1">
      <c r="B175" s="19"/>
      <c r="C175" s="19"/>
      <c r="D175" s="19"/>
      <c r="E175" s="19"/>
      <c r="F175" s="19"/>
      <c r="G175" s="19"/>
      <c r="H175" s="429">
        <f>IF($AH$5="",0,SUM($H$167:H174)+1)</f>
        <v>0</v>
      </c>
      <c r="I175" s="488" t="str">
        <f>IF($AH$5="","",$D$5&amp;CHAR(10)&amp;"("&amp;$AH$5&amp;")")</f>
        <v/>
      </c>
      <c r="J175" s="489"/>
      <c r="K175" s="489"/>
      <c r="L175" s="489"/>
      <c r="M175" s="326"/>
      <c r="N175" s="326"/>
      <c r="O175" s="326"/>
      <c r="P175" s="326"/>
      <c r="Q175" s="326"/>
      <c r="R175" s="326"/>
      <c r="S175" s="326"/>
      <c r="T175" s="326"/>
      <c r="U175" s="326"/>
      <c r="V175" s="326"/>
      <c r="W175" s="189"/>
      <c r="X175" s="190"/>
      <c r="Y175" s="191"/>
      <c r="Z175" s="189"/>
      <c r="AA175" s="190"/>
      <c r="AB175" s="191"/>
      <c r="AC175" s="192">
        <f t="shared" si="9"/>
        <v>0</v>
      </c>
      <c r="AD175" s="194"/>
      <c r="AE175" s="193"/>
      <c r="AF175" s="192" t="str">
        <f t="shared" ref="AF175" si="39">IF(I175="","","tCO2eq/년")</f>
        <v/>
      </c>
      <c r="AG175" s="193"/>
      <c r="AH175" s="185" t="e">
        <f t="shared" si="10"/>
        <v>#DIV/0!</v>
      </c>
      <c r="AI175" s="186"/>
      <c r="AJ175" s="334"/>
      <c r="AK175" s="334"/>
      <c r="AL175" s="334"/>
      <c r="AM175" s="422"/>
      <c r="AN175" s="172">
        <f>IF($AH$5="",0,SUM($AN$167:AN174)+1)</f>
        <v>0</v>
      </c>
      <c r="AO175" s="370"/>
      <c r="AP175" s="371"/>
      <c r="AQ175" s="371"/>
      <c r="AR175" s="371"/>
      <c r="AS175" s="371"/>
      <c r="AT175" s="371"/>
      <c r="AU175" s="371"/>
      <c r="AV175" s="371"/>
      <c r="AW175" s="372"/>
      <c r="AX175" s="67"/>
      <c r="BF175" s="424">
        <f>IF($AH$5="",0,SUM($BF$167:BF174)+1)</f>
        <v>0</v>
      </c>
      <c r="BG175" s="415" t="str">
        <f>IF($AH$5="","-",$D$5)</f>
        <v>-</v>
      </c>
      <c r="BH175" s="415"/>
      <c r="BI175" s="415"/>
      <c r="BJ175" s="415"/>
      <c r="BK175" s="415">
        <f>$AH$5</f>
        <v>0</v>
      </c>
      <c r="BL175" s="415"/>
      <c r="BM175" s="415"/>
      <c r="BN175" s="415"/>
      <c r="BO175" s="605" t="str">
        <f t="shared" ref="BO175" si="40">IF(W176="",W175 &amp; BR175,W175 &amp; BR175 &amp; CHAR(10) &amp; "(" &amp; W176 &amp; BR176 &amp; ")")</f>
        <v/>
      </c>
      <c r="BP175" s="605" t="str">
        <f t="shared" ref="BP175" si="41">IF(Z176="", Z175 &amp; BR175, Z175 &amp; BR175 &amp; CHAR(10) &amp; "(" &amp; Z176 &amp; BR176 &amp; ")")</f>
        <v/>
      </c>
      <c r="BQ175" s="605" t="str">
        <f t="shared" ref="BQ175" si="42">IF(AC176=0, AC175 &amp; BR175, AC175 &amp; BR175 &amp; CHAR(10) &amp; "(" &amp; AC176 &amp; BR176 &amp; ")")</f>
        <v>0</v>
      </c>
      <c r="BR175" s="173" t="str">
        <f t="shared" si="11"/>
        <v/>
      </c>
      <c r="BS175" s="414" t="e">
        <f t="shared" ref="BS175" si="43">AH175</f>
        <v>#DIV/0!</v>
      </c>
      <c r="BT175" s="413">
        <f t="shared" ref="BT175" si="44">AJ175</f>
        <v>0</v>
      </c>
      <c r="BU175" s="413">
        <f t="shared" ref="BU175" si="45">AL175</f>
        <v>0</v>
      </c>
      <c r="BV175">
        <f>SUM($BV$167:BV174)+1</f>
        <v>256</v>
      </c>
      <c r="BW175" t="str">
        <f t="shared" si="0"/>
        <v>폐기물배출 저감</v>
      </c>
      <c r="BX175" t="str">
        <f t="shared" si="1"/>
        <v>합계</v>
      </c>
      <c r="BY175">
        <f t="shared" si="2"/>
        <v>3.5</v>
      </c>
      <c r="BZ175">
        <f t="shared" si="3"/>
        <v>0.7</v>
      </c>
      <c r="CA175">
        <f t="shared" si="4"/>
        <v>2.8</v>
      </c>
      <c r="CB175" t="str">
        <f t="shared" si="12"/>
        <v>ton/년</v>
      </c>
      <c r="CC175" s="67">
        <f t="shared" si="5"/>
        <v>0.79999999999999993</v>
      </c>
      <c r="CD175">
        <f t="shared" si="6"/>
        <v>0</v>
      </c>
      <c r="CE175">
        <f t="shared" si="7"/>
        <v>0</v>
      </c>
      <c r="CF175" s="402">
        <f>SUM($CF$167:CF174)*2</f>
        <v>54</v>
      </c>
      <c r="CH175" s="614">
        <f>IF($AH$5="",0,SUM($CH$167:CH174)+1)</f>
        <v>0</v>
      </c>
      <c r="CI175" s="415" t="str">
        <f>IF($AB$5="","-",$D$5)</f>
        <v>-</v>
      </c>
      <c r="CJ175" s="415"/>
      <c r="CK175" s="415"/>
      <c r="CL175" s="415"/>
      <c r="CM175" s="415">
        <f>$AH$5</f>
        <v>0</v>
      </c>
      <c r="CN175" s="415"/>
      <c r="CO175" s="415"/>
      <c r="CP175" s="615"/>
      <c r="CQ175" s="402">
        <f t="shared" ref="CQ175" si="46">$W175</f>
        <v>0</v>
      </c>
      <c r="CR175" s="402">
        <f t="shared" ref="CR175" si="47">$Z175</f>
        <v>0</v>
      </c>
      <c r="CT175">
        <f>SUM($CT$167:CT174)+1</f>
        <v>256</v>
      </c>
      <c r="CU175" t="e">
        <f t="shared" si="8"/>
        <v>#N/A</v>
      </c>
      <c r="CV175" t="e">
        <f t="shared" si="13"/>
        <v>#N/A</v>
      </c>
      <c r="CZ175" s="16"/>
      <c r="DA175" s="16"/>
      <c r="DB175" s="16"/>
      <c r="DC175" s="16"/>
      <c r="DD175" s="16"/>
      <c r="DE175" s="16"/>
    </row>
    <row r="176" spans="2:109" ht="17.100000000000001" customHeight="1">
      <c r="B176" s="19"/>
      <c r="C176" s="19"/>
      <c r="D176" s="19"/>
      <c r="E176" s="19"/>
      <c r="F176" s="19"/>
      <c r="G176" s="19"/>
      <c r="H176" s="429"/>
      <c r="I176" s="321"/>
      <c r="J176" s="323"/>
      <c r="K176" s="323"/>
      <c r="L176" s="323"/>
      <c r="M176" s="326"/>
      <c r="N176" s="326"/>
      <c r="O176" s="326"/>
      <c r="P176" s="326"/>
      <c r="Q176" s="326"/>
      <c r="R176" s="326"/>
      <c r="S176" s="326"/>
      <c r="T176" s="326"/>
      <c r="U176" s="326"/>
      <c r="V176" s="326"/>
      <c r="W176" s="189"/>
      <c r="X176" s="190"/>
      <c r="Y176" s="191"/>
      <c r="Z176" s="189"/>
      <c r="AA176" s="190"/>
      <c r="AB176" s="191"/>
      <c r="AC176" s="192">
        <f t="shared" si="9"/>
        <v>0</v>
      </c>
      <c r="AD176" s="194"/>
      <c r="AE176" s="193"/>
      <c r="AF176" s="192" t="str">
        <f>IF(I175="","","kWh/년")</f>
        <v/>
      </c>
      <c r="AG176" s="193"/>
      <c r="AH176" s="185" t="e">
        <f t="shared" si="10"/>
        <v>#DIV/0!</v>
      </c>
      <c r="AI176" s="186"/>
      <c r="AJ176" s="334"/>
      <c r="AK176" s="334"/>
      <c r="AL176" s="334"/>
      <c r="AM176" s="422"/>
      <c r="AN176" s="172">
        <f>IF($AH$5="",0,SUM($AN$167:AN175)+1)</f>
        <v>0</v>
      </c>
      <c r="AO176" s="370"/>
      <c r="AP176" s="371"/>
      <c r="AQ176" s="371"/>
      <c r="AR176" s="371"/>
      <c r="AS176" s="371"/>
      <c r="AT176" s="371"/>
      <c r="AU176" s="371"/>
      <c r="AV176" s="371"/>
      <c r="AW176" s="372"/>
      <c r="AX176" s="67"/>
      <c r="BF176" s="424"/>
      <c r="BG176" s="415"/>
      <c r="BH176" s="415"/>
      <c r="BI176" s="415"/>
      <c r="BJ176" s="415"/>
      <c r="BK176" s="415"/>
      <c r="BL176" s="415"/>
      <c r="BM176" s="415"/>
      <c r="BN176" s="415"/>
      <c r="BO176" s="605"/>
      <c r="BP176" s="605"/>
      <c r="BQ176" s="605"/>
      <c r="BR176" s="173" t="str">
        <f t="shared" si="11"/>
        <v/>
      </c>
      <c r="BS176" s="413"/>
      <c r="BT176" s="413"/>
      <c r="BU176" s="413"/>
      <c r="BV176">
        <f>SUM($BV$167:BV175)+1</f>
        <v>512</v>
      </c>
      <c r="BW176" t="str">
        <f t="shared" si="0"/>
        <v>자원순환</v>
      </c>
      <c r="BX176" t="str">
        <f t="shared" si="1"/>
        <v>빗물 재이용시설</v>
      </c>
      <c r="BY176">
        <f t="shared" si="2"/>
        <v>0</v>
      </c>
      <c r="BZ176">
        <f t="shared" si="3"/>
        <v>257.39999999999998</v>
      </c>
      <c r="CA176">
        <f t="shared" si="4"/>
        <v>257.39999999999998</v>
      </c>
      <c r="CB176" t="str">
        <f t="shared" si="12"/>
        <v>ton/년</v>
      </c>
      <c r="CC176" s="67">
        <f t="shared" si="5"/>
        <v>1</v>
      </c>
      <c r="CD176">
        <f t="shared" si="6"/>
        <v>0.19</v>
      </c>
      <c r="CE176">
        <f t="shared" si="7"/>
        <v>1.54</v>
      </c>
      <c r="CF176" s="402"/>
      <c r="CH176" s="614"/>
      <c r="CI176" s="415"/>
      <c r="CJ176" s="415"/>
      <c r="CK176" s="415"/>
      <c r="CL176" s="415"/>
      <c r="CM176" s="415"/>
      <c r="CN176" s="415"/>
      <c r="CO176" s="415"/>
      <c r="CP176" s="615"/>
      <c r="CQ176" s="402"/>
      <c r="CR176" s="402"/>
      <c r="CT176">
        <f>SUM($CT$167:CT175)+1</f>
        <v>512</v>
      </c>
      <c r="CU176" t="e">
        <f t="shared" si="8"/>
        <v>#N/A</v>
      </c>
      <c r="CV176" t="e">
        <f t="shared" si="13"/>
        <v>#N/A</v>
      </c>
    </row>
    <row r="177" spans="2:103" ht="17.100000000000001" customHeight="1">
      <c r="B177" s="19"/>
      <c r="C177" s="19"/>
      <c r="D177" s="19"/>
      <c r="E177" s="19"/>
      <c r="F177" s="19"/>
      <c r="G177" s="19"/>
      <c r="H177" s="429">
        <f>IF($J$6="",0,SUM($H$167:H176)+1)</f>
        <v>0</v>
      </c>
      <c r="I177" s="488" t="str">
        <f>IF($J$6="","",$D$5&amp;CHAR(10)&amp;"("&amp;$J$6&amp;")")</f>
        <v/>
      </c>
      <c r="J177" s="489"/>
      <c r="K177" s="489"/>
      <c r="L177" s="489"/>
      <c r="M177" s="326"/>
      <c r="N177" s="326"/>
      <c r="O177" s="326"/>
      <c r="P177" s="326"/>
      <c r="Q177" s="326"/>
      <c r="R177" s="326"/>
      <c r="S177" s="326"/>
      <c r="T177" s="326"/>
      <c r="U177" s="326"/>
      <c r="V177" s="326"/>
      <c r="W177" s="189"/>
      <c r="X177" s="190"/>
      <c r="Y177" s="191"/>
      <c r="Z177" s="189"/>
      <c r="AA177" s="190"/>
      <c r="AB177" s="191"/>
      <c r="AC177" s="192">
        <f t="shared" si="9"/>
        <v>0</v>
      </c>
      <c r="AD177" s="194"/>
      <c r="AE177" s="193"/>
      <c r="AF177" s="192" t="str">
        <f t="shared" ref="AF177" si="48">IF(I177="","","tCO2eq/년")</f>
        <v/>
      </c>
      <c r="AG177" s="193"/>
      <c r="AH177" s="185" t="e">
        <f t="shared" si="10"/>
        <v>#DIV/0!</v>
      </c>
      <c r="AI177" s="186"/>
      <c r="AJ177" s="334"/>
      <c r="AK177" s="334"/>
      <c r="AL177" s="334"/>
      <c r="AM177" s="422"/>
      <c r="AN177" s="172">
        <f>IF($J$6="",0,SUM($AN$167:AN176)+1)</f>
        <v>0</v>
      </c>
      <c r="AO177" s="370"/>
      <c r="AP177" s="371"/>
      <c r="AQ177" s="371"/>
      <c r="AR177" s="371"/>
      <c r="AS177" s="371"/>
      <c r="AT177" s="371"/>
      <c r="AU177" s="371"/>
      <c r="AV177" s="371"/>
      <c r="AW177" s="372"/>
      <c r="AX177" s="67"/>
      <c r="BF177" s="424">
        <f>IF($J$6="",0,SUM($BF$167:BF176)+1)</f>
        <v>0</v>
      </c>
      <c r="BG177" s="415" t="str">
        <f>IF($J$6="","-",$D$5)</f>
        <v>-</v>
      </c>
      <c r="BH177" s="415"/>
      <c r="BI177" s="415"/>
      <c r="BJ177" s="415"/>
      <c r="BK177" s="415">
        <f>$J$6</f>
        <v>0</v>
      </c>
      <c r="BL177" s="415"/>
      <c r="BM177" s="415"/>
      <c r="BN177" s="415"/>
      <c r="BO177" s="605" t="str">
        <f t="shared" ref="BO177" si="49">IF(W178="",W177 &amp; BR177,W177 &amp; BR177 &amp; CHAR(10) &amp; "(" &amp; W178 &amp; BR178 &amp; ")")</f>
        <v/>
      </c>
      <c r="BP177" s="605" t="str">
        <f t="shared" ref="BP177" si="50">IF(Z178="", Z177 &amp; BR177, Z177 &amp; BR177 &amp; CHAR(10) &amp; "(" &amp; Z178 &amp; BR178 &amp; ")")</f>
        <v/>
      </c>
      <c r="BQ177" s="605" t="str">
        <f t="shared" ref="BQ177" si="51">IF(AC178=0, AC177 &amp; BR177, AC177 &amp; BR177 &amp; CHAR(10) &amp; "(" &amp; AC178 &amp; BR178 &amp; ")")</f>
        <v>0</v>
      </c>
      <c r="BR177" s="173" t="str">
        <f t="shared" si="11"/>
        <v/>
      </c>
      <c r="BS177" s="414" t="e">
        <f t="shared" ref="BS177" si="52">AH177</f>
        <v>#DIV/0!</v>
      </c>
      <c r="BT177" s="413">
        <f t="shared" ref="BT177" si="53">AJ177</f>
        <v>0</v>
      </c>
      <c r="BU177" s="413">
        <f t="shared" ref="BU177" si="54">AL177</f>
        <v>0</v>
      </c>
      <c r="BV177">
        <f>SUM($BV$167:BV176)+1</f>
        <v>1024</v>
      </c>
      <c r="BW177" t="str">
        <f t="shared" si="0"/>
        <v>자원순환</v>
      </c>
      <c r="BX177" t="str">
        <f t="shared" si="1"/>
        <v>합계</v>
      </c>
      <c r="BY177">
        <f t="shared" si="2"/>
        <v>0</v>
      </c>
      <c r="BZ177">
        <f t="shared" si="3"/>
        <v>257.39999999999998</v>
      </c>
      <c r="CA177">
        <f t="shared" si="4"/>
        <v>257.39999999999998</v>
      </c>
      <c r="CB177" t="str">
        <f t="shared" si="12"/>
        <v>ton/년</v>
      </c>
      <c r="CC177" s="67">
        <f t="shared" si="5"/>
        <v>1</v>
      </c>
      <c r="CD177">
        <f t="shared" si="6"/>
        <v>0</v>
      </c>
      <c r="CE177">
        <f t="shared" si="7"/>
        <v>0</v>
      </c>
      <c r="CF177" s="402">
        <f>SUM(CF175)*2</f>
        <v>108</v>
      </c>
      <c r="CH177" s="614">
        <f>IF($J$6="",0,SUM($CH$167:CH176)+1)</f>
        <v>0</v>
      </c>
      <c r="CI177" s="415" t="str">
        <f>IF($J$6="","-",$D$5)</f>
        <v>-</v>
      </c>
      <c r="CJ177" s="415"/>
      <c r="CK177" s="415"/>
      <c r="CL177" s="415"/>
      <c r="CM177" s="415">
        <f>$J$6</f>
        <v>0</v>
      </c>
      <c r="CN177" s="415"/>
      <c r="CO177" s="415"/>
      <c r="CP177" s="615"/>
      <c r="CQ177" s="402">
        <f t="shared" ref="CQ177" si="55">$W177</f>
        <v>0</v>
      </c>
      <c r="CR177" s="402">
        <f t="shared" ref="CR177" si="56">$Z177</f>
        <v>0</v>
      </c>
      <c r="CT177">
        <f>SUM($CT$167:CT176)+1</f>
        <v>1024</v>
      </c>
      <c r="CU177" t="e">
        <f t="shared" si="8"/>
        <v>#N/A</v>
      </c>
      <c r="CV177" t="e">
        <f t="shared" si="13"/>
        <v>#N/A</v>
      </c>
      <c r="CY177" t="s">
        <v>204</v>
      </c>
    </row>
    <row r="178" spans="2:103" ht="17.100000000000001" customHeight="1">
      <c r="B178" s="19"/>
      <c r="C178" s="19"/>
      <c r="D178" s="19"/>
      <c r="E178" s="19"/>
      <c r="F178" s="19"/>
      <c r="G178" s="19"/>
      <c r="H178" s="429"/>
      <c r="I178" s="321"/>
      <c r="J178" s="323"/>
      <c r="K178" s="323"/>
      <c r="L178" s="323"/>
      <c r="M178" s="326"/>
      <c r="N178" s="326"/>
      <c r="O178" s="326"/>
      <c r="P178" s="326"/>
      <c r="Q178" s="326"/>
      <c r="R178" s="326"/>
      <c r="S178" s="326"/>
      <c r="T178" s="326"/>
      <c r="U178" s="326"/>
      <c r="V178" s="326"/>
      <c r="W178" s="189"/>
      <c r="X178" s="190"/>
      <c r="Y178" s="191"/>
      <c r="Z178" s="189"/>
      <c r="AA178" s="190"/>
      <c r="AB178" s="191"/>
      <c r="AC178" s="192">
        <f t="shared" si="9"/>
        <v>0</v>
      </c>
      <c r="AD178" s="194"/>
      <c r="AE178" s="193"/>
      <c r="AF178" s="192" t="str">
        <f>IF(I177="","","kWh/년")</f>
        <v/>
      </c>
      <c r="AG178" s="193"/>
      <c r="AH178" s="185" t="e">
        <f t="shared" si="10"/>
        <v>#DIV/0!</v>
      </c>
      <c r="AI178" s="186"/>
      <c r="AJ178" s="334"/>
      <c r="AK178" s="334"/>
      <c r="AL178" s="334"/>
      <c r="AM178" s="422"/>
      <c r="AN178" s="172">
        <f>IF($J$6="",0,SUM($AN$167:AN177)+1)</f>
        <v>0</v>
      </c>
      <c r="AO178" s="370"/>
      <c r="AP178" s="371"/>
      <c r="AQ178" s="371"/>
      <c r="AR178" s="371"/>
      <c r="AS178" s="371"/>
      <c r="AT178" s="371"/>
      <c r="AU178" s="371"/>
      <c r="AV178" s="371"/>
      <c r="AW178" s="372"/>
      <c r="AX178" s="67"/>
      <c r="BF178" s="424"/>
      <c r="BG178" s="415"/>
      <c r="BH178" s="415"/>
      <c r="BI178" s="415"/>
      <c r="BJ178" s="415"/>
      <c r="BK178" s="415"/>
      <c r="BL178" s="415"/>
      <c r="BM178" s="415"/>
      <c r="BN178" s="415"/>
      <c r="BO178" s="605"/>
      <c r="BP178" s="605"/>
      <c r="BQ178" s="605"/>
      <c r="BR178" s="173" t="str">
        <f t="shared" si="11"/>
        <v/>
      </c>
      <c r="BS178" s="413"/>
      <c r="BT178" s="413"/>
      <c r="BU178" s="413"/>
      <c r="BV178">
        <f>SUM($BV$167:BV177)+1</f>
        <v>2048</v>
      </c>
      <c r="BW178" t="str">
        <f t="shared" si="0"/>
        <v>고용창출</v>
      </c>
      <c r="BX178" t="str">
        <f t="shared" si="1"/>
        <v>-</v>
      </c>
      <c r="BY178">
        <f t="shared" si="2"/>
        <v>0</v>
      </c>
      <c r="BZ178">
        <f t="shared" si="3"/>
        <v>2</v>
      </c>
      <c r="CA178">
        <f>ROUND(VLOOKUP($BV178,$BF$167:$BU$268,12,0),2)</f>
        <v>2</v>
      </c>
      <c r="CB178" t="str">
        <f t="shared" si="12"/>
        <v>명</v>
      </c>
      <c r="CC178" s="67">
        <f t="shared" si="5"/>
        <v>1</v>
      </c>
      <c r="CD178">
        <f t="shared" si="6"/>
        <v>0</v>
      </c>
      <c r="CE178">
        <f t="shared" si="7"/>
        <v>0</v>
      </c>
      <c r="CF178" s="402"/>
      <c r="CH178" s="614"/>
      <c r="CI178" s="415"/>
      <c r="CJ178" s="415"/>
      <c r="CK178" s="415"/>
      <c r="CL178" s="415"/>
      <c r="CM178" s="415"/>
      <c r="CN178" s="415"/>
      <c r="CO178" s="415"/>
      <c r="CP178" s="615"/>
      <c r="CQ178" s="402"/>
      <c r="CR178" s="402"/>
      <c r="CT178">
        <f>SUM($CT$167:CT177)+1</f>
        <v>2048</v>
      </c>
      <c r="CU178" t="e">
        <f t="shared" si="8"/>
        <v>#N/A</v>
      </c>
      <c r="CV178" t="e">
        <f t="shared" si="13"/>
        <v>#N/A</v>
      </c>
      <c r="CY178">
        <f>MAX(CY167:CY174)</f>
        <v>16</v>
      </c>
    </row>
    <row r="179" spans="2:103" ht="17.100000000000001" customHeight="1">
      <c r="B179" s="19"/>
      <c r="C179" s="19"/>
      <c r="D179" s="19"/>
      <c r="E179" s="19"/>
      <c r="F179" s="19"/>
      <c r="G179" s="19"/>
      <c r="H179" s="429">
        <f>IF($P$6="",0,SUM($H$167:H178)+1)</f>
        <v>0</v>
      </c>
      <c r="I179" s="488" t="str">
        <f>IF($P$6="","",$D$5&amp;CHAR(10)&amp;"("&amp;$P$6&amp;")")</f>
        <v/>
      </c>
      <c r="J179" s="489"/>
      <c r="K179" s="489"/>
      <c r="L179" s="489"/>
      <c r="M179" s="326"/>
      <c r="N179" s="326"/>
      <c r="O179" s="326"/>
      <c r="P179" s="326"/>
      <c r="Q179" s="326"/>
      <c r="R179" s="326"/>
      <c r="S179" s="326"/>
      <c r="T179" s="326"/>
      <c r="U179" s="326"/>
      <c r="V179" s="326"/>
      <c r="W179" s="189"/>
      <c r="X179" s="190"/>
      <c r="Y179" s="191"/>
      <c r="Z179" s="189"/>
      <c r="AA179" s="190"/>
      <c r="AB179" s="191"/>
      <c r="AC179" s="192">
        <f t="shared" si="9"/>
        <v>0</v>
      </c>
      <c r="AD179" s="194"/>
      <c r="AE179" s="193"/>
      <c r="AF179" s="192" t="str">
        <f t="shared" ref="AF179" si="57">IF(I179="","","tCO2eq/년")</f>
        <v/>
      </c>
      <c r="AG179" s="193"/>
      <c r="AH179" s="185" t="e">
        <f t="shared" si="10"/>
        <v>#DIV/0!</v>
      </c>
      <c r="AI179" s="186"/>
      <c r="AJ179" s="334"/>
      <c r="AK179" s="334"/>
      <c r="AL179" s="334"/>
      <c r="AM179" s="422"/>
      <c r="AN179" s="172">
        <f>IF($P$6="",0,SUM($AN$167:AN178)+1)</f>
        <v>0</v>
      </c>
      <c r="AO179" s="370"/>
      <c r="AP179" s="371"/>
      <c r="AQ179" s="371"/>
      <c r="AR179" s="371"/>
      <c r="AS179" s="371"/>
      <c r="AT179" s="371"/>
      <c r="AU179" s="371"/>
      <c r="AV179" s="371"/>
      <c r="AW179" s="372"/>
      <c r="AX179" s="67"/>
      <c r="BF179" s="424">
        <f>IF($P$6="",0,SUM($BF$167:BF178)+1)</f>
        <v>0</v>
      </c>
      <c r="BG179" s="415" t="str">
        <f>IF($P$6="","-",$D$5)</f>
        <v>-</v>
      </c>
      <c r="BH179" s="415"/>
      <c r="BI179" s="415"/>
      <c r="BJ179" s="415"/>
      <c r="BK179" s="415">
        <f>$P$6</f>
        <v>0</v>
      </c>
      <c r="BL179" s="415"/>
      <c r="BM179" s="415"/>
      <c r="BN179" s="415"/>
      <c r="BO179" s="605" t="str">
        <f t="shared" ref="BO179" si="58">IF(W180="",W179 &amp; BR179,W179 &amp; BR179 &amp; CHAR(10) &amp; "(" &amp; W180 &amp; BR180 &amp; ")")</f>
        <v/>
      </c>
      <c r="BP179" s="605" t="str">
        <f t="shared" ref="BP179" si="59">IF(Z180="", Z179 &amp; BR179, Z179 &amp; BR179 &amp; CHAR(10) &amp; "(" &amp; Z180 &amp; BR180 &amp; ")")</f>
        <v/>
      </c>
      <c r="BQ179" s="605" t="str">
        <f t="shared" ref="BQ179" si="60">IF(AC180=0, AC179 &amp; BR179, AC179 &amp; BR179 &amp; CHAR(10) &amp; "(" &amp; AC180 &amp; BR180 &amp; ")")</f>
        <v>0</v>
      </c>
      <c r="BR179" s="173" t="str">
        <f t="shared" si="11"/>
        <v/>
      </c>
      <c r="BS179" s="414" t="e">
        <f t="shared" ref="BS179" si="61">AH179</f>
        <v>#DIV/0!</v>
      </c>
      <c r="BT179" s="413">
        <f t="shared" ref="BT179" si="62">AJ179</f>
        <v>0</v>
      </c>
      <c r="BU179" s="413">
        <f t="shared" ref="BU179" si="63">AL179</f>
        <v>0</v>
      </c>
      <c r="BV179">
        <f>SUM($BV$167:BV178)+1</f>
        <v>4096</v>
      </c>
      <c r="BW179" t="str">
        <f t="shared" si="0"/>
        <v>경제적효과</v>
      </c>
      <c r="BX179" t="str">
        <f t="shared" si="1"/>
        <v>-</v>
      </c>
      <c r="BY179">
        <f t="shared" si="2"/>
        <v>0</v>
      </c>
      <c r="BZ179">
        <f t="shared" si="3"/>
        <v>407697</v>
      </c>
      <c r="CA179">
        <f t="shared" ref="CA179:CA196" si="64">VLOOKUP($BV179,$BF$167:$BU$268,12,0)</f>
        <v>407697</v>
      </c>
      <c r="CB179" t="str">
        <f t="shared" si="12"/>
        <v>천원/년</v>
      </c>
      <c r="CC179" s="67">
        <f t="shared" si="5"/>
        <v>1</v>
      </c>
      <c r="CD179">
        <f t="shared" si="6"/>
        <v>0</v>
      </c>
      <c r="CE179">
        <f t="shared" si="7"/>
        <v>0</v>
      </c>
      <c r="CF179" s="402">
        <f>SUM($CF$167:CF178)*2</f>
        <v>378</v>
      </c>
      <c r="CH179" s="614">
        <f>IF($P$6="",0,SUM($CH$167:CH178)+1)</f>
        <v>0</v>
      </c>
      <c r="CI179" s="415" t="str">
        <f>IF($P$6="","-",$D$5)</f>
        <v>-</v>
      </c>
      <c r="CJ179" s="415"/>
      <c r="CK179" s="415"/>
      <c r="CL179" s="415"/>
      <c r="CM179" s="415">
        <f>$P$6</f>
        <v>0</v>
      </c>
      <c r="CN179" s="415"/>
      <c r="CO179" s="415"/>
      <c r="CP179" s="615"/>
      <c r="CQ179" s="402">
        <f t="shared" ref="CQ179" si="65">$W179</f>
        <v>0</v>
      </c>
      <c r="CR179" s="402">
        <f t="shared" ref="CR179" si="66">$Z179</f>
        <v>0</v>
      </c>
      <c r="CT179">
        <f>SUM($CT$167:CT178)+1</f>
        <v>4096</v>
      </c>
      <c r="CU179" t="e">
        <f t="shared" si="8"/>
        <v>#N/A</v>
      </c>
      <c r="CV179" t="e">
        <f t="shared" si="13"/>
        <v>#N/A</v>
      </c>
    </row>
    <row r="180" spans="2:103" ht="17.100000000000001" customHeight="1">
      <c r="B180" s="19"/>
      <c r="C180" s="19"/>
      <c r="D180" s="19"/>
      <c r="E180" s="19"/>
      <c r="F180" s="19"/>
      <c r="G180" s="19"/>
      <c r="H180" s="429"/>
      <c r="I180" s="321"/>
      <c r="J180" s="323"/>
      <c r="K180" s="323"/>
      <c r="L180" s="323"/>
      <c r="M180" s="326"/>
      <c r="N180" s="326"/>
      <c r="O180" s="326"/>
      <c r="P180" s="326"/>
      <c r="Q180" s="326"/>
      <c r="R180" s="326"/>
      <c r="S180" s="326"/>
      <c r="T180" s="326"/>
      <c r="U180" s="326"/>
      <c r="V180" s="326"/>
      <c r="W180" s="189"/>
      <c r="X180" s="190"/>
      <c r="Y180" s="191"/>
      <c r="Z180" s="189"/>
      <c r="AA180" s="190"/>
      <c r="AB180" s="191"/>
      <c r="AC180" s="192">
        <f t="shared" si="9"/>
        <v>0</v>
      </c>
      <c r="AD180" s="194"/>
      <c r="AE180" s="193"/>
      <c r="AF180" s="192" t="str">
        <f>IF(I179="","","kWh/년")</f>
        <v/>
      </c>
      <c r="AG180" s="193"/>
      <c r="AH180" s="185" t="e">
        <f t="shared" si="10"/>
        <v>#DIV/0!</v>
      </c>
      <c r="AI180" s="186"/>
      <c r="AJ180" s="334"/>
      <c r="AK180" s="334"/>
      <c r="AL180" s="334"/>
      <c r="AM180" s="422"/>
      <c r="AN180" s="172">
        <f>IF($P$6="",0,SUM($AN$167:AN179)+1)</f>
        <v>0</v>
      </c>
      <c r="AO180" s="370"/>
      <c r="AP180" s="371"/>
      <c r="AQ180" s="371"/>
      <c r="AR180" s="371"/>
      <c r="AS180" s="371"/>
      <c r="AT180" s="371"/>
      <c r="AU180" s="371"/>
      <c r="AV180" s="371"/>
      <c r="AW180" s="372"/>
      <c r="AX180" s="67"/>
      <c r="BF180" s="424"/>
      <c r="BG180" s="415"/>
      <c r="BH180" s="415"/>
      <c r="BI180" s="415"/>
      <c r="BJ180" s="415"/>
      <c r="BK180" s="415"/>
      <c r="BL180" s="415"/>
      <c r="BM180" s="415"/>
      <c r="BN180" s="415"/>
      <c r="BO180" s="605"/>
      <c r="BP180" s="605"/>
      <c r="BQ180" s="605"/>
      <c r="BR180" s="173" t="str">
        <f t="shared" si="11"/>
        <v/>
      </c>
      <c r="BS180" s="413"/>
      <c r="BT180" s="413"/>
      <c r="BU180" s="413"/>
      <c r="BV180">
        <f>SUM($BV$167:BV179)+1</f>
        <v>8192</v>
      </c>
      <c r="BW180" t="e">
        <f t="shared" si="0"/>
        <v>#N/A</v>
      </c>
      <c r="BX180" t="e">
        <f t="shared" si="1"/>
        <v>#N/A</v>
      </c>
      <c r="BY180" t="e">
        <f t="shared" si="2"/>
        <v>#N/A</v>
      </c>
      <c r="BZ180" t="e">
        <f t="shared" si="3"/>
        <v>#N/A</v>
      </c>
      <c r="CA180" t="e">
        <f t="shared" si="64"/>
        <v>#N/A</v>
      </c>
      <c r="CB180" t="e">
        <f t="shared" si="12"/>
        <v>#N/A</v>
      </c>
      <c r="CC180" s="67" t="e">
        <f t="shared" si="5"/>
        <v>#N/A</v>
      </c>
      <c r="CD180" t="e">
        <f t="shared" si="6"/>
        <v>#N/A</v>
      </c>
      <c r="CE180" t="e">
        <f t="shared" si="7"/>
        <v>#N/A</v>
      </c>
      <c r="CF180" s="402"/>
      <c r="CH180" s="614"/>
      <c r="CI180" s="415"/>
      <c r="CJ180" s="415"/>
      <c r="CK180" s="415"/>
      <c r="CL180" s="415"/>
      <c r="CM180" s="415"/>
      <c r="CN180" s="415"/>
      <c r="CO180" s="415"/>
      <c r="CP180" s="615"/>
      <c r="CQ180" s="402"/>
      <c r="CR180" s="402"/>
      <c r="CT180">
        <f>SUM($CT$167:CT179)+1</f>
        <v>8192</v>
      </c>
      <c r="CU180" t="e">
        <f t="shared" si="8"/>
        <v>#N/A</v>
      </c>
      <c r="CV180" t="e">
        <f t="shared" si="13"/>
        <v>#N/A</v>
      </c>
    </row>
    <row r="181" spans="2:103" ht="17.100000000000001" customHeight="1">
      <c r="B181" s="19"/>
      <c r="C181" s="19"/>
      <c r="D181" s="19"/>
      <c r="E181" s="19"/>
      <c r="F181" s="19"/>
      <c r="G181" s="19"/>
      <c r="H181" s="429">
        <f>IF($V$6="",0,SUM($H$167:H180)+1)</f>
        <v>0</v>
      </c>
      <c r="I181" s="488" t="str">
        <f>IF($V$6="","",$D$5&amp;CHAR(10)&amp;"("&amp;$V$6&amp;")")</f>
        <v/>
      </c>
      <c r="J181" s="489"/>
      <c r="K181" s="489"/>
      <c r="L181" s="489"/>
      <c r="M181" s="326"/>
      <c r="N181" s="326"/>
      <c r="O181" s="326"/>
      <c r="P181" s="326"/>
      <c r="Q181" s="326"/>
      <c r="R181" s="326"/>
      <c r="S181" s="326"/>
      <c r="T181" s="326"/>
      <c r="U181" s="326"/>
      <c r="V181" s="326"/>
      <c r="W181" s="189"/>
      <c r="X181" s="190"/>
      <c r="Y181" s="191"/>
      <c r="Z181" s="189"/>
      <c r="AA181" s="190"/>
      <c r="AB181" s="191"/>
      <c r="AC181" s="192">
        <f t="shared" si="9"/>
        <v>0</v>
      </c>
      <c r="AD181" s="194"/>
      <c r="AE181" s="193"/>
      <c r="AF181" s="192" t="str">
        <f t="shared" ref="AF181" si="67">IF(I181="","","tCO2eq/년")</f>
        <v/>
      </c>
      <c r="AG181" s="193"/>
      <c r="AH181" s="185" t="e">
        <f t="shared" si="10"/>
        <v>#DIV/0!</v>
      </c>
      <c r="AI181" s="186"/>
      <c r="AJ181" s="334"/>
      <c r="AK181" s="334"/>
      <c r="AL181" s="334"/>
      <c r="AM181" s="422"/>
      <c r="AN181" s="172">
        <f>IF($V$6="",0,SUM($AN$167:AN180)+1)</f>
        <v>0</v>
      </c>
      <c r="AO181" s="370"/>
      <c r="AP181" s="371"/>
      <c r="AQ181" s="371"/>
      <c r="AR181" s="371"/>
      <c r="AS181" s="371"/>
      <c r="AT181" s="371"/>
      <c r="AU181" s="371"/>
      <c r="AV181" s="371"/>
      <c r="AW181" s="372"/>
      <c r="AX181" s="67"/>
      <c r="BF181" s="424">
        <f>IF($V$6="",0,SUM($BF$167:BF180)+1)</f>
        <v>0</v>
      </c>
      <c r="BG181" s="415" t="str">
        <f>IF($V$6="","-",$D$5)</f>
        <v>-</v>
      </c>
      <c r="BH181" s="415"/>
      <c r="BI181" s="415"/>
      <c r="BJ181" s="415"/>
      <c r="BK181" s="415">
        <f>$V$6</f>
        <v>0</v>
      </c>
      <c r="BL181" s="415"/>
      <c r="BM181" s="415"/>
      <c r="BN181" s="415"/>
      <c r="BO181" s="605" t="str">
        <f t="shared" ref="BO181" si="68">IF(W182="",W181 &amp; BR181,W181 &amp; BR181 &amp; CHAR(10) &amp; "(" &amp; W182 &amp; BR182 &amp; ")")</f>
        <v/>
      </c>
      <c r="BP181" s="605" t="str">
        <f t="shared" ref="BP181" si="69">IF(Z182="", Z181 &amp; BR181, Z181 &amp; BR181 &amp; CHAR(10) &amp; "(" &amp; Z182 &amp; BR182 &amp; ")")</f>
        <v/>
      </c>
      <c r="BQ181" s="605" t="str">
        <f t="shared" ref="BQ181" si="70">IF(AC182=0, AC181 &amp; BR181, AC181 &amp; BR181 &amp; CHAR(10) &amp; "(" &amp; AC182 &amp; BR182 &amp; ")")</f>
        <v>0</v>
      </c>
      <c r="BR181" s="173" t="str">
        <f t="shared" si="11"/>
        <v/>
      </c>
      <c r="BS181" s="414" t="e">
        <f t="shared" ref="BS181" si="71">AH181</f>
        <v>#DIV/0!</v>
      </c>
      <c r="BT181" s="413">
        <f t="shared" ref="BT181" si="72">AJ181</f>
        <v>0</v>
      </c>
      <c r="BU181" s="413">
        <f t="shared" ref="BU181" si="73">AL181</f>
        <v>0</v>
      </c>
      <c r="BV181">
        <f>SUM($BV$167:BV180)+1</f>
        <v>16384</v>
      </c>
      <c r="BW181" t="e">
        <f t="shared" si="0"/>
        <v>#N/A</v>
      </c>
      <c r="BX181" t="e">
        <f t="shared" si="1"/>
        <v>#N/A</v>
      </c>
      <c r="BY181" t="e">
        <f t="shared" si="2"/>
        <v>#N/A</v>
      </c>
      <c r="BZ181" t="e">
        <f t="shared" si="3"/>
        <v>#N/A</v>
      </c>
      <c r="CA181" t="e">
        <f t="shared" si="64"/>
        <v>#N/A</v>
      </c>
      <c r="CB181" t="e">
        <f t="shared" si="12"/>
        <v>#N/A</v>
      </c>
      <c r="CC181" s="67" t="e">
        <f t="shared" si="5"/>
        <v>#N/A</v>
      </c>
      <c r="CD181" t="e">
        <f t="shared" si="6"/>
        <v>#N/A</v>
      </c>
      <c r="CE181" t="e">
        <f t="shared" si="7"/>
        <v>#N/A</v>
      </c>
      <c r="CF181" s="402">
        <f>SUM($CF$167:CF180)*2</f>
        <v>1134</v>
      </c>
      <c r="CH181" s="614">
        <f>IF($V$6="",0,SUM($CH$167:CH180)+1)</f>
        <v>0</v>
      </c>
      <c r="CI181" s="415" t="str">
        <f>IF($V$6="","-",$D$5)</f>
        <v>-</v>
      </c>
      <c r="CJ181" s="415"/>
      <c r="CK181" s="415"/>
      <c r="CL181" s="415"/>
      <c r="CM181" s="415">
        <f>$V$6</f>
        <v>0</v>
      </c>
      <c r="CN181" s="415"/>
      <c r="CO181" s="415"/>
      <c r="CP181" s="615"/>
      <c r="CQ181" s="402">
        <f t="shared" ref="CQ181" si="74">$W181</f>
        <v>0</v>
      </c>
      <c r="CR181" s="402">
        <f t="shared" ref="CR181" si="75">$Z181</f>
        <v>0</v>
      </c>
      <c r="CT181">
        <f>SUM($CT$167:CT180)+1</f>
        <v>16384</v>
      </c>
      <c r="CU181" t="e">
        <f t="shared" si="8"/>
        <v>#N/A</v>
      </c>
      <c r="CV181" t="e">
        <f t="shared" si="13"/>
        <v>#N/A</v>
      </c>
    </row>
    <row r="182" spans="2:103" ht="17.100000000000001" customHeight="1">
      <c r="B182" s="19"/>
      <c r="C182" s="19"/>
      <c r="D182" s="19"/>
      <c r="E182" s="19"/>
      <c r="F182" s="19"/>
      <c r="G182" s="19"/>
      <c r="H182" s="429"/>
      <c r="I182" s="321"/>
      <c r="J182" s="323"/>
      <c r="K182" s="323"/>
      <c r="L182" s="323"/>
      <c r="M182" s="326"/>
      <c r="N182" s="326"/>
      <c r="O182" s="326"/>
      <c r="P182" s="326"/>
      <c r="Q182" s="326"/>
      <c r="R182" s="326"/>
      <c r="S182" s="326"/>
      <c r="T182" s="326"/>
      <c r="U182" s="326"/>
      <c r="V182" s="326"/>
      <c r="W182" s="189"/>
      <c r="X182" s="190"/>
      <c r="Y182" s="191"/>
      <c r="Z182" s="189"/>
      <c r="AA182" s="190"/>
      <c r="AB182" s="191"/>
      <c r="AC182" s="192">
        <f t="shared" si="9"/>
        <v>0</v>
      </c>
      <c r="AD182" s="194"/>
      <c r="AE182" s="193"/>
      <c r="AF182" s="192" t="str">
        <f>IF(I181="","","kWh/년")</f>
        <v/>
      </c>
      <c r="AG182" s="193"/>
      <c r="AH182" s="185" t="e">
        <f t="shared" si="10"/>
        <v>#DIV/0!</v>
      </c>
      <c r="AI182" s="186"/>
      <c r="AJ182" s="334"/>
      <c r="AK182" s="334"/>
      <c r="AL182" s="334"/>
      <c r="AM182" s="422"/>
      <c r="AN182" s="172">
        <f>IF($V$6="",0,SUM($AN$167:AN181)+1)</f>
        <v>0</v>
      </c>
      <c r="AO182" s="370"/>
      <c r="AP182" s="371"/>
      <c r="AQ182" s="371"/>
      <c r="AR182" s="371"/>
      <c r="AS182" s="371"/>
      <c r="AT182" s="371"/>
      <c r="AU182" s="371"/>
      <c r="AV182" s="371"/>
      <c r="AW182" s="372"/>
      <c r="AX182" s="67"/>
      <c r="BF182" s="424"/>
      <c r="BG182" s="415"/>
      <c r="BH182" s="415"/>
      <c r="BI182" s="415"/>
      <c r="BJ182" s="415"/>
      <c r="BK182" s="415"/>
      <c r="BL182" s="415"/>
      <c r="BM182" s="415"/>
      <c r="BN182" s="415"/>
      <c r="BO182" s="605"/>
      <c r="BP182" s="605"/>
      <c r="BQ182" s="605"/>
      <c r="BR182" s="173" t="str">
        <f t="shared" si="11"/>
        <v/>
      </c>
      <c r="BS182" s="413"/>
      <c r="BT182" s="413"/>
      <c r="BU182" s="413"/>
      <c r="BV182">
        <f>SUM($BV$167:BV181)+1</f>
        <v>32768</v>
      </c>
      <c r="BW182" t="e">
        <f t="shared" si="0"/>
        <v>#N/A</v>
      </c>
      <c r="BX182" t="e">
        <f t="shared" si="1"/>
        <v>#N/A</v>
      </c>
      <c r="BY182" t="e">
        <f t="shared" si="2"/>
        <v>#N/A</v>
      </c>
      <c r="BZ182" t="e">
        <f t="shared" si="3"/>
        <v>#N/A</v>
      </c>
      <c r="CA182" t="e">
        <f t="shared" si="64"/>
        <v>#N/A</v>
      </c>
      <c r="CB182" t="e">
        <f t="shared" si="12"/>
        <v>#N/A</v>
      </c>
      <c r="CC182" s="67" t="e">
        <f t="shared" si="5"/>
        <v>#N/A</v>
      </c>
      <c r="CD182" t="e">
        <f t="shared" si="6"/>
        <v>#N/A</v>
      </c>
      <c r="CE182" t="e">
        <f t="shared" si="7"/>
        <v>#N/A</v>
      </c>
      <c r="CF182" s="402"/>
      <c r="CH182" s="614"/>
      <c r="CI182" s="415"/>
      <c r="CJ182" s="415"/>
      <c r="CK182" s="415"/>
      <c r="CL182" s="415"/>
      <c r="CM182" s="415"/>
      <c r="CN182" s="415"/>
      <c r="CO182" s="415"/>
      <c r="CP182" s="615"/>
      <c r="CQ182" s="402"/>
      <c r="CR182" s="402"/>
      <c r="CT182">
        <f>SUM($CT$167:CT181)+1</f>
        <v>32768</v>
      </c>
      <c r="CU182" t="e">
        <f t="shared" si="8"/>
        <v>#N/A</v>
      </c>
      <c r="CV182" t="e">
        <f t="shared" si="13"/>
        <v>#N/A</v>
      </c>
    </row>
    <row r="183" spans="2:103" ht="17.100000000000001" customHeight="1">
      <c r="B183" s="19"/>
      <c r="C183" s="19"/>
      <c r="D183" s="19"/>
      <c r="E183" s="19"/>
      <c r="F183" s="19"/>
      <c r="G183" s="19"/>
      <c r="H183" s="429">
        <f>IF($AB$6="",0,SUM($H$167:H182)+1)</f>
        <v>0</v>
      </c>
      <c r="I183" s="488" t="str">
        <f>IF($AB$6="","",$D$5&amp;CHAR(10)&amp;"("&amp;$AB$6&amp;")")</f>
        <v/>
      </c>
      <c r="J183" s="489"/>
      <c r="K183" s="489"/>
      <c r="L183" s="489"/>
      <c r="M183" s="326"/>
      <c r="N183" s="326"/>
      <c r="O183" s="326"/>
      <c r="P183" s="326"/>
      <c r="Q183" s="326"/>
      <c r="R183" s="326"/>
      <c r="S183" s="326"/>
      <c r="T183" s="326"/>
      <c r="U183" s="326"/>
      <c r="V183" s="326"/>
      <c r="W183" s="189"/>
      <c r="X183" s="190"/>
      <c r="Y183" s="191"/>
      <c r="Z183" s="189"/>
      <c r="AA183" s="190"/>
      <c r="AB183" s="191"/>
      <c r="AC183" s="192">
        <f t="shared" si="9"/>
        <v>0</v>
      </c>
      <c r="AD183" s="194"/>
      <c r="AE183" s="193"/>
      <c r="AF183" s="192" t="str">
        <f t="shared" ref="AF183" si="76">IF(I183="","","tCO2eq/년")</f>
        <v/>
      </c>
      <c r="AG183" s="193"/>
      <c r="AH183" s="185" t="e">
        <f t="shared" si="10"/>
        <v>#DIV/0!</v>
      </c>
      <c r="AI183" s="186"/>
      <c r="AJ183" s="334"/>
      <c r="AK183" s="334"/>
      <c r="AL183" s="334"/>
      <c r="AM183" s="422"/>
      <c r="AN183" s="172">
        <f>IF($AB$6="",0,SUM($AN$167:AN182)+1)</f>
        <v>0</v>
      </c>
      <c r="AO183" s="370"/>
      <c r="AP183" s="371"/>
      <c r="AQ183" s="371"/>
      <c r="AR183" s="371"/>
      <c r="AS183" s="371"/>
      <c r="AT183" s="371"/>
      <c r="AU183" s="371"/>
      <c r="AV183" s="371"/>
      <c r="AW183" s="372"/>
      <c r="AX183" s="67"/>
      <c r="BF183" s="424">
        <f>IF($AB$6="",0,SUM($BF$167:BF182)+1)</f>
        <v>0</v>
      </c>
      <c r="BG183" s="415" t="str">
        <f>IF($AB$6="","-",$D$5)</f>
        <v>-</v>
      </c>
      <c r="BH183" s="415"/>
      <c r="BI183" s="415"/>
      <c r="BJ183" s="415"/>
      <c r="BK183" s="415">
        <f>$AB$6</f>
        <v>0</v>
      </c>
      <c r="BL183" s="415"/>
      <c r="BM183" s="415"/>
      <c r="BN183" s="415"/>
      <c r="BO183" s="605" t="str">
        <f t="shared" ref="BO183" si="77">IF(W184="",W183 &amp; BR183,W183 &amp; BR183 &amp; CHAR(10) &amp; "(" &amp; W184 &amp; BR184 &amp; ")")</f>
        <v/>
      </c>
      <c r="BP183" s="605" t="str">
        <f t="shared" ref="BP183" si="78">IF(Z184="", Z183 &amp; BR183, Z183 &amp; BR183 &amp; CHAR(10) &amp; "(" &amp; Z184 &amp; BR184 &amp; ")")</f>
        <v/>
      </c>
      <c r="BQ183" s="605" t="str">
        <f t="shared" ref="BQ183" si="79">IF(AC184=0, AC183 &amp; BR183, AC183 &amp; BR183 &amp; CHAR(10) &amp; "(" &amp; AC184 &amp; BR184 &amp; ")")</f>
        <v>0</v>
      </c>
      <c r="BR183" s="173" t="str">
        <f t="shared" si="11"/>
        <v/>
      </c>
      <c r="BS183" s="414" t="e">
        <f t="shared" ref="BS183" si="80">AH183</f>
        <v>#DIV/0!</v>
      </c>
      <c r="BT183" s="413">
        <f t="shared" ref="BT183" si="81">AJ183</f>
        <v>0</v>
      </c>
      <c r="BU183" s="413">
        <f t="shared" ref="BU183" si="82">AL183</f>
        <v>0</v>
      </c>
      <c r="BV183">
        <f>SUM($BV$167:BV182)+1</f>
        <v>65536</v>
      </c>
      <c r="BW183" t="e">
        <f t="shared" si="0"/>
        <v>#N/A</v>
      </c>
      <c r="BX183" t="e">
        <f t="shared" si="1"/>
        <v>#N/A</v>
      </c>
      <c r="BY183" t="e">
        <f t="shared" si="2"/>
        <v>#N/A</v>
      </c>
      <c r="BZ183" t="e">
        <f t="shared" si="3"/>
        <v>#N/A</v>
      </c>
      <c r="CA183" t="e">
        <f t="shared" si="64"/>
        <v>#N/A</v>
      </c>
      <c r="CB183" t="e">
        <f t="shared" si="12"/>
        <v>#N/A</v>
      </c>
      <c r="CC183" s="67" t="e">
        <f t="shared" si="5"/>
        <v>#N/A</v>
      </c>
      <c r="CD183" t="e">
        <f t="shared" si="6"/>
        <v>#N/A</v>
      </c>
      <c r="CE183" t="e">
        <f t="shared" si="7"/>
        <v>#N/A</v>
      </c>
      <c r="CF183" s="402">
        <f>SUM($CF$167:CF182)*2</f>
        <v>3402</v>
      </c>
      <c r="CH183" s="614">
        <f>IF($AB$6="",0,SUM($CH$167:CH182)+1)</f>
        <v>0</v>
      </c>
      <c r="CI183" s="415" t="str">
        <f>IF($AB$6="","-",$D$5)</f>
        <v>-</v>
      </c>
      <c r="CJ183" s="415"/>
      <c r="CK183" s="415"/>
      <c r="CL183" s="415"/>
      <c r="CM183" s="415">
        <f>$AB$6</f>
        <v>0</v>
      </c>
      <c r="CN183" s="415"/>
      <c r="CO183" s="415"/>
      <c r="CP183" s="615"/>
      <c r="CQ183" s="402">
        <f t="shared" ref="CQ183" si="83">$W183</f>
        <v>0</v>
      </c>
      <c r="CR183" s="402">
        <f t="shared" ref="CR183" si="84">$Z183</f>
        <v>0</v>
      </c>
      <c r="CT183">
        <f>SUM($CT$167:CT182)+1</f>
        <v>65536</v>
      </c>
      <c r="CU183" t="e">
        <f t="shared" si="8"/>
        <v>#N/A</v>
      </c>
      <c r="CV183" t="e">
        <f t="shared" si="13"/>
        <v>#N/A</v>
      </c>
    </row>
    <row r="184" spans="2:103" ht="17.100000000000001" customHeight="1">
      <c r="B184" s="19"/>
      <c r="C184" s="19"/>
      <c r="D184" s="19"/>
      <c r="E184" s="19"/>
      <c r="F184" s="19"/>
      <c r="G184" s="19"/>
      <c r="H184" s="429"/>
      <c r="I184" s="321"/>
      <c r="J184" s="323"/>
      <c r="K184" s="323"/>
      <c r="L184" s="323"/>
      <c r="M184" s="326"/>
      <c r="N184" s="326"/>
      <c r="O184" s="326"/>
      <c r="P184" s="326"/>
      <c r="Q184" s="326"/>
      <c r="R184" s="326"/>
      <c r="S184" s="326"/>
      <c r="T184" s="326"/>
      <c r="U184" s="326"/>
      <c r="V184" s="326"/>
      <c r="W184" s="189"/>
      <c r="X184" s="190"/>
      <c r="Y184" s="191"/>
      <c r="Z184" s="189"/>
      <c r="AA184" s="190"/>
      <c r="AB184" s="191"/>
      <c r="AC184" s="192">
        <f t="shared" si="9"/>
        <v>0</v>
      </c>
      <c r="AD184" s="194"/>
      <c r="AE184" s="193"/>
      <c r="AF184" s="192" t="str">
        <f>IF(I183="","","kWh/년")</f>
        <v/>
      </c>
      <c r="AG184" s="193"/>
      <c r="AH184" s="185" t="e">
        <f t="shared" si="10"/>
        <v>#DIV/0!</v>
      </c>
      <c r="AI184" s="186"/>
      <c r="AJ184" s="334"/>
      <c r="AK184" s="334"/>
      <c r="AL184" s="334"/>
      <c r="AM184" s="422"/>
      <c r="AN184" s="172">
        <f>IF($AB$6="",0,SUM($AN$167:AN183)+1)</f>
        <v>0</v>
      </c>
      <c r="AO184" s="370"/>
      <c r="AP184" s="371"/>
      <c r="AQ184" s="371"/>
      <c r="AR184" s="371"/>
      <c r="AS184" s="371"/>
      <c r="AT184" s="371"/>
      <c r="AU184" s="371"/>
      <c r="AV184" s="371"/>
      <c r="AW184" s="372"/>
      <c r="AX184" s="67"/>
      <c r="BF184" s="424"/>
      <c r="BG184" s="415"/>
      <c r="BH184" s="415"/>
      <c r="BI184" s="415"/>
      <c r="BJ184" s="415"/>
      <c r="BK184" s="415"/>
      <c r="BL184" s="415"/>
      <c r="BM184" s="415"/>
      <c r="BN184" s="415"/>
      <c r="BO184" s="605"/>
      <c r="BP184" s="605"/>
      <c r="BQ184" s="605"/>
      <c r="BR184" s="173" t="str">
        <f t="shared" si="11"/>
        <v/>
      </c>
      <c r="BS184" s="413"/>
      <c r="BT184" s="413"/>
      <c r="BU184" s="413"/>
      <c r="BV184">
        <f>SUM($BV$167:BV183)+1</f>
        <v>131072</v>
      </c>
      <c r="BW184" t="e">
        <f t="shared" si="0"/>
        <v>#N/A</v>
      </c>
      <c r="BX184" t="e">
        <f t="shared" si="1"/>
        <v>#N/A</v>
      </c>
      <c r="BY184" t="e">
        <f t="shared" si="2"/>
        <v>#N/A</v>
      </c>
      <c r="BZ184" t="e">
        <f t="shared" si="3"/>
        <v>#N/A</v>
      </c>
      <c r="CA184" t="e">
        <f t="shared" si="64"/>
        <v>#N/A</v>
      </c>
      <c r="CB184" t="e">
        <f t="shared" si="12"/>
        <v>#N/A</v>
      </c>
      <c r="CC184" s="67" t="e">
        <f t="shared" si="5"/>
        <v>#N/A</v>
      </c>
      <c r="CD184" t="e">
        <f t="shared" si="6"/>
        <v>#N/A</v>
      </c>
      <c r="CE184" t="e">
        <f t="shared" si="7"/>
        <v>#N/A</v>
      </c>
      <c r="CF184" s="402"/>
      <c r="CH184" s="614"/>
      <c r="CI184" s="415"/>
      <c r="CJ184" s="415"/>
      <c r="CK184" s="415"/>
      <c r="CL184" s="415"/>
      <c r="CM184" s="415"/>
      <c r="CN184" s="415"/>
      <c r="CO184" s="415"/>
      <c r="CP184" s="615"/>
      <c r="CQ184" s="402"/>
      <c r="CR184" s="402"/>
      <c r="CT184">
        <f>SUM($CT$167:CT183)+1</f>
        <v>131072</v>
      </c>
      <c r="CU184" t="e">
        <f t="shared" si="8"/>
        <v>#N/A</v>
      </c>
      <c r="CV184" t="e">
        <f t="shared" si="13"/>
        <v>#N/A</v>
      </c>
    </row>
    <row r="185" spans="2:103" ht="17.100000000000001" customHeight="1">
      <c r="B185" s="19"/>
      <c r="C185" s="19"/>
      <c r="D185" s="19"/>
      <c r="E185" s="19"/>
      <c r="F185" s="19"/>
      <c r="G185" s="19"/>
      <c r="H185" s="429">
        <f>IF($AH$6="",0,SUM($H$167:H184)+1)</f>
        <v>0</v>
      </c>
      <c r="I185" s="488" t="str">
        <f>IF($AH$6="","",$D$5&amp;CHAR(10)&amp;"("&amp;$AH$6&amp;")")</f>
        <v/>
      </c>
      <c r="J185" s="489"/>
      <c r="K185" s="489"/>
      <c r="L185" s="489"/>
      <c r="M185" s="326"/>
      <c r="N185" s="326"/>
      <c r="O185" s="326"/>
      <c r="P185" s="326"/>
      <c r="Q185" s="326"/>
      <c r="R185" s="326"/>
      <c r="S185" s="326"/>
      <c r="T185" s="326"/>
      <c r="U185" s="326"/>
      <c r="V185" s="326"/>
      <c r="W185" s="189"/>
      <c r="X185" s="190"/>
      <c r="Y185" s="191"/>
      <c r="Z185" s="189"/>
      <c r="AA185" s="190"/>
      <c r="AB185" s="191"/>
      <c r="AC185" s="192">
        <f t="shared" si="9"/>
        <v>0</v>
      </c>
      <c r="AD185" s="194"/>
      <c r="AE185" s="193"/>
      <c r="AF185" s="192" t="str">
        <f t="shared" ref="AF185" si="85">IF(I185="","","tCO2eq/년")</f>
        <v/>
      </c>
      <c r="AG185" s="193"/>
      <c r="AH185" s="185" t="e">
        <f t="shared" si="10"/>
        <v>#DIV/0!</v>
      </c>
      <c r="AI185" s="186"/>
      <c r="AJ185" s="334"/>
      <c r="AK185" s="334"/>
      <c r="AL185" s="334"/>
      <c r="AM185" s="422"/>
      <c r="AN185" s="172">
        <f>IF($AH$6="",0,SUM($AN$167:AN184)+1)</f>
        <v>0</v>
      </c>
      <c r="AO185" s="370"/>
      <c r="AP185" s="371"/>
      <c r="AQ185" s="371"/>
      <c r="AR185" s="371"/>
      <c r="AS185" s="371"/>
      <c r="AT185" s="371"/>
      <c r="AU185" s="371"/>
      <c r="AV185" s="371"/>
      <c r="AW185" s="372"/>
      <c r="AX185" s="67"/>
      <c r="BF185" s="424">
        <f>IF($AH$6="",0,SUM($BF$167:BF184)+1)</f>
        <v>0</v>
      </c>
      <c r="BG185" s="415" t="str">
        <f>IF($AH$6="","-",$D$5)</f>
        <v>-</v>
      </c>
      <c r="BH185" s="415"/>
      <c r="BI185" s="415"/>
      <c r="BJ185" s="415"/>
      <c r="BK185" s="415">
        <f>$AH$6</f>
        <v>0</v>
      </c>
      <c r="BL185" s="415"/>
      <c r="BM185" s="415"/>
      <c r="BN185" s="415"/>
      <c r="BO185" s="605" t="str">
        <f t="shared" ref="BO185" si="86">IF(W186="",W185 &amp; BR185,W185 &amp; BR185 &amp; CHAR(10) &amp; "(" &amp; W186 &amp; BR186 &amp; ")")</f>
        <v/>
      </c>
      <c r="BP185" s="605" t="str">
        <f t="shared" ref="BP185" si="87">IF(Z186="", Z185 &amp; BR185, Z185 &amp; BR185 &amp; CHAR(10) &amp; "(" &amp; Z186 &amp; BR186 &amp; ")")</f>
        <v/>
      </c>
      <c r="BQ185" s="605" t="str">
        <f t="shared" ref="BQ185" si="88">IF(AC186=0, AC185 &amp; BR185, AC185 &amp; BR185 &amp; CHAR(10) &amp; "(" &amp; AC186 &amp; BR186 &amp; ")")</f>
        <v>0</v>
      </c>
      <c r="BR185" s="173" t="str">
        <f t="shared" si="11"/>
        <v/>
      </c>
      <c r="BS185" s="414" t="e">
        <f t="shared" ref="BS185:BS188" si="89">AH185</f>
        <v>#DIV/0!</v>
      </c>
      <c r="BT185" s="413">
        <f t="shared" ref="BT185" si="90">AJ185</f>
        <v>0</v>
      </c>
      <c r="BU185" s="413">
        <f t="shared" ref="BU185:BU188" si="91">AL185</f>
        <v>0</v>
      </c>
      <c r="BV185">
        <f>SUM($BV$167:BV184)+1</f>
        <v>262144</v>
      </c>
      <c r="BW185" t="e">
        <f t="shared" si="0"/>
        <v>#N/A</v>
      </c>
      <c r="BX185" t="e">
        <f t="shared" si="1"/>
        <v>#N/A</v>
      </c>
      <c r="BY185" t="e">
        <f t="shared" si="2"/>
        <v>#N/A</v>
      </c>
      <c r="BZ185" t="e">
        <f t="shared" si="3"/>
        <v>#N/A</v>
      </c>
      <c r="CA185" t="e">
        <f t="shared" si="64"/>
        <v>#N/A</v>
      </c>
      <c r="CB185" t="e">
        <f t="shared" si="12"/>
        <v>#N/A</v>
      </c>
      <c r="CC185" s="67" t="e">
        <f t="shared" si="5"/>
        <v>#N/A</v>
      </c>
      <c r="CD185" t="e">
        <f t="shared" si="6"/>
        <v>#N/A</v>
      </c>
      <c r="CE185" t="e">
        <f t="shared" si="7"/>
        <v>#N/A</v>
      </c>
      <c r="CF185" s="402">
        <f>SUM($CF$167:CF174)*2</f>
        <v>54</v>
      </c>
      <c r="CH185" s="614">
        <f>IF($AH$6="",0,SUM($CH$167:CH184)+1)</f>
        <v>0</v>
      </c>
      <c r="CI185" s="415" t="str">
        <f>IF($AH$6="","-",$D$5)</f>
        <v>-</v>
      </c>
      <c r="CJ185" s="415"/>
      <c r="CK185" s="415"/>
      <c r="CL185" s="415"/>
      <c r="CM185" s="415">
        <f>$AH$6</f>
        <v>0</v>
      </c>
      <c r="CN185" s="415"/>
      <c r="CO185" s="415"/>
      <c r="CP185" s="615"/>
      <c r="CQ185" s="402">
        <f t="shared" ref="CQ185" si="92">$W185</f>
        <v>0</v>
      </c>
      <c r="CR185" s="402">
        <f t="shared" ref="CR185" si="93">$Z185</f>
        <v>0</v>
      </c>
      <c r="CT185">
        <f>SUM($CT$167:CT184)+1</f>
        <v>262144</v>
      </c>
      <c r="CU185" t="e">
        <f t="shared" si="8"/>
        <v>#N/A</v>
      </c>
      <c r="CV185" t="e">
        <f t="shared" si="13"/>
        <v>#N/A</v>
      </c>
    </row>
    <row r="186" spans="2:103" ht="17.100000000000001" customHeight="1" thickBot="1">
      <c r="B186" s="19"/>
      <c r="C186" s="19"/>
      <c r="D186" s="19"/>
      <c r="E186" s="19"/>
      <c r="F186" s="19"/>
      <c r="G186" s="19"/>
      <c r="H186" s="429"/>
      <c r="I186" s="321"/>
      <c r="J186" s="323"/>
      <c r="K186" s="323"/>
      <c r="L186" s="323"/>
      <c r="M186" s="326"/>
      <c r="N186" s="326"/>
      <c r="O186" s="326"/>
      <c r="P186" s="326"/>
      <c r="Q186" s="326"/>
      <c r="R186" s="326"/>
      <c r="S186" s="326"/>
      <c r="T186" s="326"/>
      <c r="U186" s="326"/>
      <c r="V186" s="326"/>
      <c r="W186" s="189"/>
      <c r="X186" s="190"/>
      <c r="Y186" s="191"/>
      <c r="Z186" s="189"/>
      <c r="AA186" s="190"/>
      <c r="AB186" s="191"/>
      <c r="AC186" s="195">
        <f t="shared" si="9"/>
        <v>0</v>
      </c>
      <c r="AD186" s="196"/>
      <c r="AE186" s="197"/>
      <c r="AF186" s="192" t="str">
        <f>IF(I185="","","kWh/년")</f>
        <v/>
      </c>
      <c r="AG186" s="193"/>
      <c r="AH186" s="187" t="e">
        <f t="shared" si="10"/>
        <v>#DIV/0!</v>
      </c>
      <c r="AI186" s="188"/>
      <c r="AJ186" s="334"/>
      <c r="AK186" s="334"/>
      <c r="AL186" s="334"/>
      <c r="AM186" s="422"/>
      <c r="AN186" s="172">
        <f>IF($AH$6="",0,SUM($AN$167:AN185)+1)</f>
        <v>0</v>
      </c>
      <c r="AO186" s="370"/>
      <c r="AP186" s="371"/>
      <c r="AQ186" s="371"/>
      <c r="AR186" s="371"/>
      <c r="AS186" s="371"/>
      <c r="AT186" s="371"/>
      <c r="AU186" s="371"/>
      <c r="AV186" s="371"/>
      <c r="AW186" s="372"/>
      <c r="AX186" s="67"/>
      <c r="BF186" s="424"/>
      <c r="BG186" s="415"/>
      <c r="BH186" s="415"/>
      <c r="BI186" s="415"/>
      <c r="BJ186" s="415"/>
      <c r="BK186" s="415"/>
      <c r="BL186" s="415"/>
      <c r="BM186" s="415"/>
      <c r="BN186" s="415"/>
      <c r="BO186" s="605"/>
      <c r="BP186" s="605"/>
      <c r="BQ186" s="605"/>
      <c r="BR186" s="173" t="str">
        <f t="shared" si="11"/>
        <v/>
      </c>
      <c r="BS186" s="413"/>
      <c r="BT186" s="413"/>
      <c r="BU186" s="413"/>
      <c r="BV186">
        <f>SUM($BV$167:BV185)+1</f>
        <v>524288</v>
      </c>
      <c r="BW186" t="e">
        <f t="shared" si="0"/>
        <v>#N/A</v>
      </c>
      <c r="BX186" t="e">
        <f t="shared" si="1"/>
        <v>#N/A</v>
      </c>
      <c r="BY186" t="e">
        <f t="shared" si="2"/>
        <v>#N/A</v>
      </c>
      <c r="BZ186" t="e">
        <f t="shared" si="3"/>
        <v>#N/A</v>
      </c>
      <c r="CA186" t="e">
        <f t="shared" si="64"/>
        <v>#N/A</v>
      </c>
      <c r="CB186" t="e">
        <f t="shared" si="12"/>
        <v>#N/A</v>
      </c>
      <c r="CC186" s="67" t="e">
        <f t="shared" si="5"/>
        <v>#N/A</v>
      </c>
      <c r="CD186" t="e">
        <f t="shared" si="6"/>
        <v>#N/A</v>
      </c>
      <c r="CE186" t="e">
        <f t="shared" si="7"/>
        <v>#N/A</v>
      </c>
      <c r="CF186" s="402"/>
      <c r="CH186" s="616"/>
      <c r="CI186" s="617"/>
      <c r="CJ186" s="617"/>
      <c r="CK186" s="617"/>
      <c r="CL186" s="617"/>
      <c r="CM186" s="617"/>
      <c r="CN186" s="617"/>
      <c r="CO186" s="617"/>
      <c r="CP186" s="618"/>
      <c r="CQ186" s="402"/>
      <c r="CR186" s="402"/>
      <c r="CT186">
        <f>SUM($CT$167:CT185)+1</f>
        <v>524288</v>
      </c>
      <c r="CU186" t="e">
        <f t="shared" si="8"/>
        <v>#N/A</v>
      </c>
      <c r="CV186" t="e">
        <f t="shared" si="13"/>
        <v>#N/A</v>
      </c>
    </row>
    <row r="187" spans="2:103" ht="17.100000000000001" customHeight="1" thickBot="1">
      <c r="B187" s="19"/>
      <c r="C187" s="19"/>
      <c r="D187" s="19"/>
      <c r="E187" s="19"/>
      <c r="F187" s="19"/>
      <c r="G187" s="19"/>
      <c r="H187" s="170"/>
      <c r="I187" s="376" t="str">
        <f>IF(SUM(H167:H186)&gt;0,"합계","")</f>
        <v>합계</v>
      </c>
      <c r="J187" s="441"/>
      <c r="K187" s="441"/>
      <c r="L187" s="441"/>
      <c r="M187" s="441"/>
      <c r="N187" s="441"/>
      <c r="O187" s="441"/>
      <c r="P187" s="441"/>
      <c r="Q187" s="441"/>
      <c r="R187" s="441"/>
      <c r="S187" s="441"/>
      <c r="T187" s="441"/>
      <c r="U187" s="441"/>
      <c r="V187" s="442"/>
      <c r="W187" s="409">
        <f>SUMIF($AF$167:$AG$186,$AF$187,W167:Y186)</f>
        <v>1941.2</v>
      </c>
      <c r="X187" s="377"/>
      <c r="Y187" s="410"/>
      <c r="Z187" s="409">
        <f>SUMIF($AF$167:$AG$186,$AF$187,Z167:AB186)</f>
        <v>1734.8</v>
      </c>
      <c r="AA187" s="377"/>
      <c r="AB187" s="410"/>
      <c r="AC187" s="409">
        <f>SUMIF($AF$167:$AG$186,$AF$187,AC167:AE186)</f>
        <v>206.40000000000009</v>
      </c>
      <c r="AD187" s="377"/>
      <c r="AE187" s="410"/>
      <c r="AF187" s="409" t="s">
        <v>212</v>
      </c>
      <c r="AG187" s="410"/>
      <c r="AH187" s="407">
        <f>AC187/W187</f>
        <v>0.10632598392746759</v>
      </c>
      <c r="AI187" s="408"/>
      <c r="AJ187" s="409"/>
      <c r="AK187" s="410"/>
      <c r="AL187" s="409"/>
      <c r="AM187" s="378"/>
      <c r="AN187" s="1"/>
      <c r="AO187" s="370"/>
      <c r="AP187" s="371"/>
      <c r="AQ187" s="371"/>
      <c r="AR187" s="371"/>
      <c r="AS187" s="371"/>
      <c r="AT187" s="371"/>
      <c r="AU187" s="371"/>
      <c r="AV187" s="371"/>
      <c r="AW187" s="372"/>
      <c r="BF187" s="70">
        <f>IF(BK187="",0,SUM($BF$167:BF186)+1)</f>
        <v>4</v>
      </c>
      <c r="BG187" s="440" t="s">
        <v>241</v>
      </c>
      <c r="BH187" s="440"/>
      <c r="BI187" s="440"/>
      <c r="BJ187" s="440"/>
      <c r="BK187" s="440" t="str">
        <f>I187</f>
        <v>합계</v>
      </c>
      <c r="BL187" s="440"/>
      <c r="BM187" s="440"/>
      <c r="BN187" s="440"/>
      <c r="BO187" s="171" t="str">
        <f>IF(SUMIF((AF167:AG186),"kWh/년",W167:Y186)&gt;0, W187 &amp; BR187 &amp; "(" &amp; SUMIF((AF167:AG186),"kWh/년",W167:Y186) &amp; "kWh/년)",W187 &amp; BR187)</f>
        <v>1941.2tCO2eq/년(4225452kWh/년)</v>
      </c>
      <c r="BP187" s="171" t="str">
        <f>IF(SUMIF((AF167:AG186),"kWh/년",Z167:AB186)&gt;0, Z187 &amp; BR187 &amp; "(" &amp; SUMIF((AF167:AG186),"kWh/년",Z167:AB186) &amp; "kWh/년)",Z187 &amp; BR187)</f>
        <v>1734.8tCO2eq/년(3776203kWh/년)</v>
      </c>
      <c r="BQ187" s="171" t="str">
        <f>IF(SUMIF((AF167:AG186),"kWh/년",AC167:AE186)&gt;0, AC187 &amp; BR187 &amp; "(" &amp; SUMIF((AF167:AG186),"kWh/년",AC167:AE186) &amp; "kWh/년)",AC187 &amp; BR187)</f>
        <v>206.4tCO2eq/년(449249kWh/년)</v>
      </c>
      <c r="BR187" s="70" t="str">
        <f>AF187</f>
        <v>tCO2eq/년</v>
      </c>
      <c r="BS187" s="71">
        <f>AH187</f>
        <v>0.10632598392746759</v>
      </c>
      <c r="BT187" s="72"/>
      <c r="BU187" s="72"/>
      <c r="BV187">
        <f>SUM($BV$167:BV186)+1</f>
        <v>1048576</v>
      </c>
      <c r="BW187" t="e">
        <f t="shared" si="0"/>
        <v>#N/A</v>
      </c>
      <c r="BX187" t="e">
        <f t="shared" si="1"/>
        <v>#N/A</v>
      </c>
      <c r="BY187" t="e">
        <f t="shared" si="2"/>
        <v>#N/A</v>
      </c>
      <c r="BZ187" t="e">
        <f t="shared" si="3"/>
        <v>#N/A</v>
      </c>
      <c r="CA187" t="e">
        <f t="shared" si="64"/>
        <v>#N/A</v>
      </c>
      <c r="CB187" t="e">
        <f t="shared" si="12"/>
        <v>#N/A</v>
      </c>
      <c r="CC187" s="67" t="e">
        <f t="shared" si="5"/>
        <v>#N/A</v>
      </c>
      <c r="CD187" t="e">
        <f t="shared" si="6"/>
        <v>#N/A</v>
      </c>
      <c r="CE187" t="e">
        <f t="shared" si="7"/>
        <v>#N/A</v>
      </c>
      <c r="CF187" s="402">
        <f>SUM($CF$167:CF186)*2</f>
        <v>10314</v>
      </c>
      <c r="CG187" t="s">
        <v>155</v>
      </c>
      <c r="CH187" s="619">
        <f>IF($J$7="",0,SUM($CH$167:CH186)+1)</f>
        <v>4</v>
      </c>
      <c r="CI187" s="620" t="str">
        <f>$D$7</f>
        <v>ICT</v>
      </c>
      <c r="CJ187" s="620"/>
      <c r="CK187" s="620"/>
      <c r="CL187" s="620"/>
      <c r="CM187" s="620" t="str">
        <f>$J$7</f>
        <v>사업성과 모니터링시스템</v>
      </c>
      <c r="CN187" s="620"/>
      <c r="CO187" s="620"/>
      <c r="CP187" s="621"/>
      <c r="CQ187" s="622">
        <f>$W188</f>
        <v>0</v>
      </c>
      <c r="CR187" s="622">
        <f>$Z188</f>
        <v>102005</v>
      </c>
    </row>
    <row r="188" spans="2:103" ht="17.100000000000001" customHeight="1">
      <c r="B188" s="19"/>
      <c r="C188" s="19"/>
      <c r="D188" s="19"/>
      <c r="E188" s="19" t="s">
        <v>131</v>
      </c>
      <c r="F188" s="19"/>
      <c r="G188" s="19"/>
      <c r="H188" s="429">
        <f>IF($J$7="",0,SUM($H$167:H186)+1)</f>
        <v>4</v>
      </c>
      <c r="I188" s="337" t="str">
        <f>IF($J$7="","",$D$7&amp;CHAR(10)&amp;"("&amp;$J$7&amp;")")</f>
        <v>ICT
(사업성과 모니터링시스템)</v>
      </c>
      <c r="J188" s="338"/>
      <c r="K188" s="338"/>
      <c r="L188" s="338"/>
      <c r="M188" s="482" t="s">
        <v>695</v>
      </c>
      <c r="N188" s="482"/>
      <c r="O188" s="482"/>
      <c r="P188" s="482"/>
      <c r="Q188" s="482"/>
      <c r="R188" s="482" t="s">
        <v>696</v>
      </c>
      <c r="S188" s="482"/>
      <c r="T188" s="482"/>
      <c r="U188" s="482"/>
      <c r="V188" s="482"/>
      <c r="W188" s="596">
        <v>0</v>
      </c>
      <c r="X188" s="484"/>
      <c r="Y188" s="484"/>
      <c r="Z188" s="596">
        <v>102005</v>
      </c>
      <c r="AA188" s="484"/>
      <c r="AB188" s="484"/>
      <c r="AC188" s="606">
        <f>ABS(W188-Z188)</f>
        <v>102005</v>
      </c>
      <c r="AD188" s="606"/>
      <c r="AE188" s="606"/>
      <c r="AF188" s="463" t="str">
        <f>IF(I188="","","천원/년")</f>
        <v>천원/년</v>
      </c>
      <c r="AG188" s="463"/>
      <c r="AH188" s="478">
        <f>IF(W188=0,1,AC188/W188)</f>
        <v>1</v>
      </c>
      <c r="AI188" s="478"/>
      <c r="AJ188" s="484">
        <v>0.63</v>
      </c>
      <c r="AK188" s="484"/>
      <c r="AL188" s="484">
        <v>7.51</v>
      </c>
      <c r="AM188" s="604"/>
      <c r="AN188" s="402"/>
      <c r="AO188" s="370"/>
      <c r="AP188" s="371"/>
      <c r="AQ188" s="371"/>
      <c r="AR188" s="371"/>
      <c r="AS188" s="371"/>
      <c r="AT188" s="371"/>
      <c r="AU188" s="371"/>
      <c r="AV188" s="371"/>
      <c r="AW188" s="372"/>
      <c r="BE188" t="s">
        <v>155</v>
      </c>
      <c r="BF188" s="424">
        <f>IF($J$7="",0,SUM($BF$167:BF187)+1)</f>
        <v>8</v>
      </c>
      <c r="BG188" s="415" t="str">
        <f>$D$7</f>
        <v>ICT</v>
      </c>
      <c r="BH188" s="415"/>
      <c r="BI188" s="415"/>
      <c r="BJ188" s="415"/>
      <c r="BK188" s="415" t="str">
        <f>$J$7</f>
        <v>사업성과 모니터링시스템</v>
      </c>
      <c r="BL188" s="415"/>
      <c r="BM188" s="415"/>
      <c r="BN188" s="415"/>
      <c r="BO188" s="413">
        <f>W188</f>
        <v>0</v>
      </c>
      <c r="BP188" s="413">
        <f>Z188</f>
        <v>102005</v>
      </c>
      <c r="BQ188" s="413">
        <f>ABS(BO188-BP188)</f>
        <v>102005</v>
      </c>
      <c r="BR188" s="413" t="str">
        <f t="shared" ref="BR188" si="94">AF188</f>
        <v>천원/년</v>
      </c>
      <c r="BS188" s="414">
        <f t="shared" si="89"/>
        <v>1</v>
      </c>
      <c r="BT188" s="413">
        <f>AJ188</f>
        <v>0.63</v>
      </c>
      <c r="BU188" s="413">
        <f t="shared" si="91"/>
        <v>7.51</v>
      </c>
      <c r="BV188">
        <f>SUM($BV$167:BV187)+1</f>
        <v>2097152</v>
      </c>
      <c r="BW188" t="e">
        <f t="shared" si="0"/>
        <v>#N/A</v>
      </c>
      <c r="BX188" t="e">
        <f t="shared" si="1"/>
        <v>#N/A</v>
      </c>
      <c r="BY188" t="e">
        <f t="shared" si="2"/>
        <v>#N/A</v>
      </c>
      <c r="BZ188" t="e">
        <f t="shared" si="3"/>
        <v>#N/A</v>
      </c>
      <c r="CA188" t="e">
        <f t="shared" si="64"/>
        <v>#N/A</v>
      </c>
      <c r="CB188" t="e">
        <f>IF(BW188="온실가스 저감", "", VLOOKUP($BV188,$BF$167:$BU$268,13,0))</f>
        <v>#N/A</v>
      </c>
      <c r="CC188" s="67" t="e">
        <f t="shared" si="5"/>
        <v>#N/A</v>
      </c>
      <c r="CD188" t="e">
        <f t="shared" si="6"/>
        <v>#N/A</v>
      </c>
      <c r="CE188" t="e">
        <f t="shared" si="7"/>
        <v>#N/A</v>
      </c>
      <c r="CF188" s="402"/>
      <c r="CH188" s="623"/>
      <c r="CI188" s="415"/>
      <c r="CJ188" s="415"/>
      <c r="CK188" s="415"/>
      <c r="CL188" s="415"/>
      <c r="CM188" s="415"/>
      <c r="CN188" s="415"/>
      <c r="CO188" s="415"/>
      <c r="CP188" s="615"/>
      <c r="CQ188" s="402"/>
      <c r="CR188" s="402"/>
      <c r="CT188" s="1" t="s">
        <v>178</v>
      </c>
    </row>
    <row r="189" spans="2:103" ht="17.100000000000001" customHeight="1">
      <c r="B189" s="19"/>
      <c r="C189" s="19"/>
      <c r="D189" s="19"/>
      <c r="E189" s="19"/>
      <c r="F189" s="19"/>
      <c r="G189" s="19"/>
      <c r="H189" s="429"/>
      <c r="I189" s="480"/>
      <c r="J189" s="481"/>
      <c r="K189" s="481"/>
      <c r="L189" s="481"/>
      <c r="M189" s="326"/>
      <c r="N189" s="326"/>
      <c r="O189" s="326"/>
      <c r="P189" s="326"/>
      <c r="Q189" s="326"/>
      <c r="R189" s="326"/>
      <c r="S189" s="326"/>
      <c r="T189" s="326"/>
      <c r="U189" s="326"/>
      <c r="V189" s="326"/>
      <c r="W189" s="433"/>
      <c r="X189" s="433"/>
      <c r="Y189" s="433"/>
      <c r="Z189" s="433"/>
      <c r="AA189" s="433"/>
      <c r="AB189" s="433"/>
      <c r="AC189" s="607"/>
      <c r="AD189" s="607"/>
      <c r="AE189" s="607"/>
      <c r="AF189" s="464"/>
      <c r="AG189" s="464"/>
      <c r="AH189" s="479"/>
      <c r="AI189" s="479"/>
      <c r="AJ189" s="433"/>
      <c r="AK189" s="433"/>
      <c r="AL189" s="334"/>
      <c r="AM189" s="422"/>
      <c r="AN189" s="402"/>
      <c r="AO189" s="370"/>
      <c r="AP189" s="371"/>
      <c r="AQ189" s="371"/>
      <c r="AR189" s="371"/>
      <c r="AS189" s="371"/>
      <c r="AT189" s="371"/>
      <c r="AU189" s="371"/>
      <c r="AV189" s="371"/>
      <c r="AW189" s="372"/>
      <c r="BF189" s="424"/>
      <c r="BG189" s="415"/>
      <c r="BH189" s="415"/>
      <c r="BI189" s="415"/>
      <c r="BJ189" s="415"/>
      <c r="BK189" s="415"/>
      <c r="BL189" s="415"/>
      <c r="BM189" s="415"/>
      <c r="BN189" s="415"/>
      <c r="BO189" s="413"/>
      <c r="BP189" s="413"/>
      <c r="BQ189" s="413"/>
      <c r="BR189" s="413"/>
      <c r="BS189" s="413"/>
      <c r="BT189" s="413"/>
      <c r="BU189" s="413"/>
      <c r="BV189">
        <f>SUM($BV$167:BV188)+1</f>
        <v>4194304</v>
      </c>
      <c r="BW189" t="e">
        <f t="shared" si="0"/>
        <v>#N/A</v>
      </c>
      <c r="BX189" t="e">
        <f t="shared" si="1"/>
        <v>#N/A</v>
      </c>
      <c r="BY189" t="e">
        <f t="shared" si="2"/>
        <v>#N/A</v>
      </c>
      <c r="BZ189" t="e">
        <f t="shared" si="3"/>
        <v>#N/A</v>
      </c>
      <c r="CA189" t="e">
        <f t="shared" si="64"/>
        <v>#N/A</v>
      </c>
      <c r="CB189" t="e">
        <f t="shared" si="12"/>
        <v>#N/A</v>
      </c>
      <c r="CC189" s="67" t="e">
        <f t="shared" si="5"/>
        <v>#N/A</v>
      </c>
      <c r="CD189" t="e">
        <f t="shared" si="6"/>
        <v>#N/A</v>
      </c>
      <c r="CE189" t="e">
        <f t="shared" si="7"/>
        <v>#N/A</v>
      </c>
      <c r="CF189" s="402">
        <f>SUM($CF$167:CF188)*2</f>
        <v>30942</v>
      </c>
      <c r="CH189" s="614">
        <f>IF($P$7="",0,SUM($CH$167:CH188)+1)</f>
        <v>0</v>
      </c>
      <c r="CI189" s="415" t="str">
        <f t="shared" ref="CI189" si="95">$D$7</f>
        <v>ICT</v>
      </c>
      <c r="CJ189" s="415"/>
      <c r="CK189" s="415"/>
      <c r="CL189" s="415"/>
      <c r="CM189" s="415">
        <f>$P$7</f>
        <v>0</v>
      </c>
      <c r="CN189" s="415"/>
      <c r="CO189" s="415"/>
      <c r="CP189" s="615"/>
      <c r="CQ189" s="622">
        <f t="shared" ref="CQ189" si="96">$W190</f>
        <v>0</v>
      </c>
      <c r="CR189" s="622">
        <f t="shared" ref="CR189" si="97">$Z190</f>
        <v>0</v>
      </c>
      <c r="CT189" s="1">
        <f>MAX(CH167:CH254)</f>
        <v>32</v>
      </c>
    </row>
    <row r="190" spans="2:103" ht="17.100000000000001" customHeight="1">
      <c r="B190" s="19"/>
      <c r="C190" s="19"/>
      <c r="D190" s="19"/>
      <c r="E190" s="19"/>
      <c r="F190" s="19"/>
      <c r="G190" s="19"/>
      <c r="H190" s="429">
        <f>IF($P$7="",0,SUM($H$167:H188)+1)</f>
        <v>0</v>
      </c>
      <c r="I190" s="339" t="str">
        <f>IF($P$7="","",$D$7&amp;CHAR(10)&amp;"("&amp;$P$7&amp;")")</f>
        <v/>
      </c>
      <c r="J190" s="340"/>
      <c r="K190" s="340"/>
      <c r="L190" s="340"/>
      <c r="M190" s="326"/>
      <c r="N190" s="326"/>
      <c r="O190" s="326"/>
      <c r="P190" s="326"/>
      <c r="Q190" s="326"/>
      <c r="R190" s="326"/>
      <c r="S190" s="326"/>
      <c r="T190" s="326"/>
      <c r="U190" s="326"/>
      <c r="V190" s="326"/>
      <c r="W190" s="487"/>
      <c r="X190" s="334"/>
      <c r="Y190" s="334"/>
      <c r="Z190" s="487"/>
      <c r="AA190" s="334"/>
      <c r="AB190" s="334"/>
      <c r="AC190" s="499">
        <f>ABS(W190-Z190)</f>
        <v>0</v>
      </c>
      <c r="AD190" s="499"/>
      <c r="AE190" s="499"/>
      <c r="AF190" s="425" t="str">
        <f t="shared" ref="AF190" si="98">IF(I190="","","천원/년")</f>
        <v/>
      </c>
      <c r="AG190" s="425"/>
      <c r="AH190" s="428">
        <f t="shared" ref="AH190" si="99">IF(W190=0,1,AC190/W190)</f>
        <v>1</v>
      </c>
      <c r="AI190" s="428"/>
      <c r="AJ190" s="334"/>
      <c r="AK190" s="334"/>
      <c r="AL190" s="334"/>
      <c r="AM190" s="422"/>
      <c r="AN190" s="1"/>
      <c r="AO190" s="370"/>
      <c r="AP190" s="371"/>
      <c r="AQ190" s="371"/>
      <c r="AR190" s="371"/>
      <c r="AS190" s="371"/>
      <c r="AT190" s="371"/>
      <c r="AU190" s="371"/>
      <c r="AV190" s="371"/>
      <c r="AW190" s="372"/>
      <c r="BF190" s="424">
        <f>IF($P$7="",0,SUM($BF$167:BF189)+1)</f>
        <v>0</v>
      </c>
      <c r="BG190" s="415" t="str">
        <f t="shared" ref="BG190" si="100">$D$7</f>
        <v>ICT</v>
      </c>
      <c r="BH190" s="415"/>
      <c r="BI190" s="415"/>
      <c r="BJ190" s="415"/>
      <c r="BK190" s="415">
        <f>$P$7</f>
        <v>0</v>
      </c>
      <c r="BL190" s="415"/>
      <c r="BM190" s="415"/>
      <c r="BN190" s="415"/>
      <c r="BO190" s="413">
        <f t="shared" ref="BO190" si="101">W190</f>
        <v>0</v>
      </c>
      <c r="BP190" s="413">
        <f t="shared" ref="BP190" si="102">Z190</f>
        <v>0</v>
      </c>
      <c r="BQ190" s="413">
        <f t="shared" ref="BQ190" si="103">ABS(BO190-BP190)</f>
        <v>0</v>
      </c>
      <c r="BR190" s="413" t="str">
        <f t="shared" ref="BR190" si="104">AF190</f>
        <v/>
      </c>
      <c r="BS190" s="414">
        <f t="shared" ref="BS190" si="105">AH190</f>
        <v>1</v>
      </c>
      <c r="BT190" s="413">
        <f t="shared" ref="BT190" si="106">AJ190</f>
        <v>0</v>
      </c>
      <c r="BU190" s="413">
        <f t="shared" ref="BU190" si="107">AL190</f>
        <v>0</v>
      </c>
      <c r="BV190">
        <f>SUM($BV$167:BV189)+1</f>
        <v>8388608</v>
      </c>
      <c r="BW190" t="e">
        <f t="shared" si="0"/>
        <v>#N/A</v>
      </c>
      <c r="BX190" t="e">
        <f t="shared" si="1"/>
        <v>#N/A</v>
      </c>
      <c r="BY190" t="e">
        <f t="shared" si="2"/>
        <v>#N/A</v>
      </c>
      <c r="BZ190" t="e">
        <f t="shared" si="3"/>
        <v>#N/A</v>
      </c>
      <c r="CA190" t="e">
        <f t="shared" si="64"/>
        <v>#N/A</v>
      </c>
      <c r="CB190" t="e">
        <f t="shared" si="12"/>
        <v>#N/A</v>
      </c>
      <c r="CC190" s="67" t="e">
        <f t="shared" si="5"/>
        <v>#N/A</v>
      </c>
      <c r="CD190" t="e">
        <f t="shared" si="6"/>
        <v>#N/A</v>
      </c>
      <c r="CE190" t="e">
        <f t="shared" si="7"/>
        <v>#N/A</v>
      </c>
      <c r="CF190" s="402"/>
      <c r="CH190" s="614"/>
      <c r="CI190" s="415"/>
      <c r="CJ190" s="415"/>
      <c r="CK190" s="415"/>
      <c r="CL190" s="415"/>
      <c r="CM190" s="415"/>
      <c r="CN190" s="415"/>
      <c r="CO190" s="415"/>
      <c r="CP190" s="615"/>
      <c r="CQ190" s="402"/>
      <c r="CR190" s="402"/>
      <c r="CT190" s="1"/>
    </row>
    <row r="191" spans="2:103" ht="17.100000000000001" customHeight="1">
      <c r="B191" s="19"/>
      <c r="C191" s="19"/>
      <c r="D191" s="19"/>
      <c r="E191" s="19"/>
      <c r="F191" s="19"/>
      <c r="G191" s="19"/>
      <c r="H191" s="429"/>
      <c r="I191" s="339"/>
      <c r="J191" s="340"/>
      <c r="K191" s="340"/>
      <c r="L191" s="340"/>
      <c r="M191" s="326"/>
      <c r="N191" s="326"/>
      <c r="O191" s="326"/>
      <c r="P191" s="326"/>
      <c r="Q191" s="326"/>
      <c r="R191" s="326"/>
      <c r="S191" s="326"/>
      <c r="T191" s="326"/>
      <c r="U191" s="326"/>
      <c r="V191" s="326"/>
      <c r="W191" s="334"/>
      <c r="X191" s="334"/>
      <c r="Y191" s="334"/>
      <c r="Z191" s="334"/>
      <c r="AA191" s="334"/>
      <c r="AB191" s="334"/>
      <c r="AC191" s="499"/>
      <c r="AD191" s="499"/>
      <c r="AE191" s="499"/>
      <c r="AF191" s="425"/>
      <c r="AG191" s="425"/>
      <c r="AH191" s="428"/>
      <c r="AI191" s="428"/>
      <c r="AJ191" s="334"/>
      <c r="AK191" s="334"/>
      <c r="AL191" s="334"/>
      <c r="AM191" s="422"/>
      <c r="AN191" s="1"/>
      <c r="AO191" s="370"/>
      <c r="AP191" s="371"/>
      <c r="AQ191" s="371"/>
      <c r="AR191" s="371"/>
      <c r="AS191" s="371"/>
      <c r="AT191" s="371"/>
      <c r="AU191" s="371"/>
      <c r="AV191" s="371"/>
      <c r="AW191" s="372"/>
      <c r="BF191" s="424"/>
      <c r="BG191" s="415"/>
      <c r="BH191" s="415"/>
      <c r="BI191" s="415"/>
      <c r="BJ191" s="415"/>
      <c r="BK191" s="415"/>
      <c r="BL191" s="415"/>
      <c r="BM191" s="415"/>
      <c r="BN191" s="415"/>
      <c r="BO191" s="413"/>
      <c r="BP191" s="413"/>
      <c r="BQ191" s="413"/>
      <c r="BR191" s="413"/>
      <c r="BS191" s="413"/>
      <c r="BT191" s="413"/>
      <c r="BU191" s="413"/>
      <c r="BV191">
        <f>SUM($BV$167:BV190)+1</f>
        <v>16777216</v>
      </c>
      <c r="BW191" t="e">
        <f t="shared" si="0"/>
        <v>#N/A</v>
      </c>
      <c r="BX191" t="e">
        <f t="shared" si="1"/>
        <v>#N/A</v>
      </c>
      <c r="BY191" t="e">
        <f t="shared" si="2"/>
        <v>#N/A</v>
      </c>
      <c r="BZ191" t="e">
        <f t="shared" si="3"/>
        <v>#N/A</v>
      </c>
      <c r="CA191" t="e">
        <f t="shared" si="64"/>
        <v>#N/A</v>
      </c>
      <c r="CB191" t="e">
        <f t="shared" si="12"/>
        <v>#N/A</v>
      </c>
      <c r="CC191" s="67" t="e">
        <f t="shared" si="5"/>
        <v>#N/A</v>
      </c>
      <c r="CD191" t="e">
        <f t="shared" si="6"/>
        <v>#N/A</v>
      </c>
      <c r="CE191" t="e">
        <f t="shared" si="7"/>
        <v>#N/A</v>
      </c>
      <c r="CF191" s="402"/>
      <c r="CH191" s="614">
        <f>IF($V$7="",0,SUM($CH$167:CH190)+1)</f>
        <v>0</v>
      </c>
      <c r="CI191" s="415" t="str">
        <f t="shared" ref="CI191" si="108">$D$7</f>
        <v>ICT</v>
      </c>
      <c r="CJ191" s="415"/>
      <c r="CK191" s="415"/>
      <c r="CL191" s="415"/>
      <c r="CM191" s="415">
        <f>$V$7</f>
        <v>0</v>
      </c>
      <c r="CN191" s="415"/>
      <c r="CO191" s="415"/>
      <c r="CP191" s="615"/>
      <c r="CQ191" s="622">
        <f t="shared" ref="CQ191" si="109">$W192</f>
        <v>0</v>
      </c>
      <c r="CR191" s="622">
        <f t="shared" ref="CR191" si="110">$Z192</f>
        <v>0</v>
      </c>
      <c r="CT191" s="1"/>
    </row>
    <row r="192" spans="2:103" ht="17.100000000000001" customHeight="1">
      <c r="B192" s="19"/>
      <c r="C192" s="19"/>
      <c r="D192" s="19"/>
      <c r="E192" s="19"/>
      <c r="F192" s="19"/>
      <c r="G192" s="19"/>
      <c r="H192" s="429">
        <f>IF($V$7="",0,SUM($H$167:H190)+1)</f>
        <v>0</v>
      </c>
      <c r="I192" s="339" t="str">
        <f>IF($V$7="","",$D$7&amp;CHAR(10)&amp;"("&amp;$V$7&amp;")")</f>
        <v/>
      </c>
      <c r="J192" s="340"/>
      <c r="K192" s="340"/>
      <c r="L192" s="340"/>
      <c r="M192" s="326"/>
      <c r="N192" s="326"/>
      <c r="O192" s="326"/>
      <c r="P192" s="326"/>
      <c r="Q192" s="326"/>
      <c r="R192" s="326"/>
      <c r="S192" s="326"/>
      <c r="T192" s="326"/>
      <c r="U192" s="326"/>
      <c r="V192" s="326"/>
      <c r="W192" s="487"/>
      <c r="X192" s="334"/>
      <c r="Y192" s="334"/>
      <c r="Z192" s="487"/>
      <c r="AA192" s="334"/>
      <c r="AB192" s="334"/>
      <c r="AC192" s="499">
        <f t="shared" ref="AC192" si="111">ABS(W192-Z192)</f>
        <v>0</v>
      </c>
      <c r="AD192" s="499"/>
      <c r="AE192" s="499"/>
      <c r="AF192" s="425" t="str">
        <f t="shared" ref="AF192" si="112">IF(I192="","","천원/년")</f>
        <v/>
      </c>
      <c r="AG192" s="425"/>
      <c r="AH192" s="428">
        <f t="shared" ref="AH192" si="113">IF(W192=0,1,AC192/W192)</f>
        <v>1</v>
      </c>
      <c r="AI192" s="428"/>
      <c r="AJ192" s="334"/>
      <c r="AK192" s="334"/>
      <c r="AL192" s="334"/>
      <c r="AM192" s="422"/>
      <c r="AN192" s="1"/>
      <c r="AO192" s="370"/>
      <c r="AP192" s="371"/>
      <c r="AQ192" s="371"/>
      <c r="AR192" s="371"/>
      <c r="AS192" s="371"/>
      <c r="AT192" s="371"/>
      <c r="AU192" s="371"/>
      <c r="AV192" s="371"/>
      <c r="AW192" s="372"/>
      <c r="BF192" s="424">
        <f>IF($V$7="",0,SUM($BF$167:BF191)+1)</f>
        <v>0</v>
      </c>
      <c r="BG192" s="415" t="str">
        <f t="shared" ref="BG192" si="114">$D$7</f>
        <v>ICT</v>
      </c>
      <c r="BH192" s="415"/>
      <c r="BI192" s="415"/>
      <c r="BJ192" s="415"/>
      <c r="BK192" s="415">
        <f>$V$7</f>
        <v>0</v>
      </c>
      <c r="BL192" s="415"/>
      <c r="BM192" s="415"/>
      <c r="BN192" s="415"/>
      <c r="BO192" s="413">
        <f t="shared" ref="BO192" si="115">W192</f>
        <v>0</v>
      </c>
      <c r="BP192" s="413">
        <f t="shared" ref="BP192" si="116">Z192</f>
        <v>0</v>
      </c>
      <c r="BQ192" s="413">
        <f t="shared" ref="BQ192" si="117">ABS(BO192-BP192)</f>
        <v>0</v>
      </c>
      <c r="BR192" s="413" t="str">
        <f t="shared" ref="BR192" si="118">AF192</f>
        <v/>
      </c>
      <c r="BS192" s="414">
        <f t="shared" ref="BS192" si="119">AH192</f>
        <v>1</v>
      </c>
      <c r="BT192" s="413">
        <f t="shared" ref="BT192" si="120">AJ192</f>
        <v>0</v>
      </c>
      <c r="BU192" s="413">
        <f t="shared" ref="BU192" si="121">AL192</f>
        <v>0</v>
      </c>
      <c r="BV192">
        <f>SUM($BV$167:BV191)+1</f>
        <v>33554432</v>
      </c>
      <c r="BW192" t="e">
        <f t="shared" si="0"/>
        <v>#N/A</v>
      </c>
      <c r="BX192" t="e">
        <f t="shared" si="1"/>
        <v>#N/A</v>
      </c>
      <c r="BY192" t="e">
        <f t="shared" si="2"/>
        <v>#N/A</v>
      </c>
      <c r="BZ192" t="e">
        <f t="shared" si="3"/>
        <v>#N/A</v>
      </c>
      <c r="CA192" t="e">
        <f t="shared" si="64"/>
        <v>#N/A</v>
      </c>
      <c r="CB192" t="e">
        <f t="shared" si="12"/>
        <v>#N/A</v>
      </c>
      <c r="CC192" s="67" t="e">
        <f t="shared" si="5"/>
        <v>#N/A</v>
      </c>
      <c r="CD192" t="e">
        <f t="shared" si="6"/>
        <v>#N/A</v>
      </c>
      <c r="CE192" t="e">
        <f t="shared" si="7"/>
        <v>#N/A</v>
      </c>
      <c r="CF192" s="402"/>
      <c r="CH192" s="614"/>
      <c r="CI192" s="415"/>
      <c r="CJ192" s="415"/>
      <c r="CK192" s="415"/>
      <c r="CL192" s="415"/>
      <c r="CM192" s="415"/>
      <c r="CN192" s="415"/>
      <c r="CO192" s="415"/>
      <c r="CP192" s="615"/>
      <c r="CQ192" s="402"/>
      <c r="CR192" s="402"/>
      <c r="CT192" s="1"/>
    </row>
    <row r="193" spans="2:98" ht="17.100000000000001" customHeight="1">
      <c r="B193" s="19"/>
      <c r="C193" s="19"/>
      <c r="D193" s="19"/>
      <c r="E193" s="19"/>
      <c r="F193" s="19"/>
      <c r="G193" s="19"/>
      <c r="H193" s="429"/>
      <c r="I193" s="339"/>
      <c r="J193" s="340"/>
      <c r="K193" s="340"/>
      <c r="L193" s="340"/>
      <c r="M193" s="326"/>
      <c r="N193" s="326"/>
      <c r="O193" s="326"/>
      <c r="P193" s="326"/>
      <c r="Q193" s="326"/>
      <c r="R193" s="326"/>
      <c r="S193" s="326"/>
      <c r="T193" s="326"/>
      <c r="U193" s="326"/>
      <c r="V193" s="326"/>
      <c r="W193" s="334"/>
      <c r="X193" s="334"/>
      <c r="Y193" s="334"/>
      <c r="Z193" s="334"/>
      <c r="AA193" s="334"/>
      <c r="AB193" s="334"/>
      <c r="AC193" s="499"/>
      <c r="AD193" s="499"/>
      <c r="AE193" s="499"/>
      <c r="AF193" s="425"/>
      <c r="AG193" s="425"/>
      <c r="AH193" s="428"/>
      <c r="AI193" s="428"/>
      <c r="AJ193" s="334"/>
      <c r="AK193" s="334"/>
      <c r="AL193" s="334"/>
      <c r="AM193" s="422"/>
      <c r="AN193" s="1"/>
      <c r="AO193" s="370"/>
      <c r="AP193" s="371"/>
      <c r="AQ193" s="371"/>
      <c r="AR193" s="371"/>
      <c r="AS193" s="371"/>
      <c r="AT193" s="371"/>
      <c r="AU193" s="371"/>
      <c r="AV193" s="371"/>
      <c r="AW193" s="372"/>
      <c r="BF193" s="424"/>
      <c r="BG193" s="415"/>
      <c r="BH193" s="415"/>
      <c r="BI193" s="415"/>
      <c r="BJ193" s="415"/>
      <c r="BK193" s="415"/>
      <c r="BL193" s="415"/>
      <c r="BM193" s="415"/>
      <c r="BN193" s="415"/>
      <c r="BO193" s="413"/>
      <c r="BP193" s="413"/>
      <c r="BQ193" s="413"/>
      <c r="BR193" s="413"/>
      <c r="BS193" s="413"/>
      <c r="BT193" s="413"/>
      <c r="BU193" s="413"/>
      <c r="BV193">
        <f>SUM($BV$167:BV192)+1</f>
        <v>67108864</v>
      </c>
      <c r="BW193" t="e">
        <f t="shared" si="0"/>
        <v>#N/A</v>
      </c>
      <c r="BX193" t="e">
        <f t="shared" si="1"/>
        <v>#N/A</v>
      </c>
      <c r="BY193" t="e">
        <f t="shared" si="2"/>
        <v>#N/A</v>
      </c>
      <c r="BZ193" t="e">
        <f t="shared" si="3"/>
        <v>#N/A</v>
      </c>
      <c r="CA193" t="e">
        <f t="shared" si="64"/>
        <v>#N/A</v>
      </c>
      <c r="CB193" t="e">
        <f t="shared" si="12"/>
        <v>#N/A</v>
      </c>
      <c r="CC193" s="67" t="e">
        <f t="shared" si="5"/>
        <v>#N/A</v>
      </c>
      <c r="CD193" t="e">
        <f t="shared" si="6"/>
        <v>#N/A</v>
      </c>
      <c r="CE193" t="e">
        <f t="shared" si="7"/>
        <v>#N/A</v>
      </c>
      <c r="CF193" s="402"/>
      <c r="CH193" s="614">
        <f>IF($AB$7="",0,SUM($CH$167:CH192)+1)</f>
        <v>0</v>
      </c>
      <c r="CI193" s="415" t="str">
        <f t="shared" ref="CI193" si="122">$D$7</f>
        <v>ICT</v>
      </c>
      <c r="CJ193" s="415"/>
      <c r="CK193" s="415"/>
      <c r="CL193" s="415"/>
      <c r="CM193" s="415">
        <f>$AB$7</f>
        <v>0</v>
      </c>
      <c r="CN193" s="415"/>
      <c r="CO193" s="415"/>
      <c r="CP193" s="615"/>
      <c r="CQ193" s="622">
        <f t="shared" ref="CQ193" si="123">$W194</f>
        <v>0</v>
      </c>
      <c r="CR193" s="622">
        <f t="shared" ref="CR193" si="124">$Z194</f>
        <v>0</v>
      </c>
      <c r="CT193" s="1"/>
    </row>
    <row r="194" spans="2:98" ht="17.100000000000001" customHeight="1">
      <c r="B194" s="19"/>
      <c r="C194" s="19"/>
      <c r="D194" s="19"/>
      <c r="E194" s="19"/>
      <c r="F194" s="19"/>
      <c r="G194" s="19"/>
      <c r="H194" s="429">
        <f>IF($AB$7="",0,SUM($H$167:H192)+1)</f>
        <v>0</v>
      </c>
      <c r="I194" s="339" t="str">
        <f>IF($AB$7="","",$D$7&amp;CHAR(10)&amp;"("&amp;$AB$7&amp;")")</f>
        <v/>
      </c>
      <c r="J194" s="340"/>
      <c r="K194" s="340"/>
      <c r="L194" s="340"/>
      <c r="M194" s="326"/>
      <c r="N194" s="326"/>
      <c r="O194" s="326"/>
      <c r="P194" s="326"/>
      <c r="Q194" s="326"/>
      <c r="R194" s="326"/>
      <c r="S194" s="326"/>
      <c r="T194" s="326"/>
      <c r="U194" s="326"/>
      <c r="V194" s="326"/>
      <c r="W194" s="487"/>
      <c r="X194" s="334"/>
      <c r="Y194" s="334"/>
      <c r="Z194" s="487"/>
      <c r="AA194" s="334"/>
      <c r="AB194" s="334"/>
      <c r="AC194" s="499">
        <f t="shared" ref="AC194" si="125">ABS(W194-Z194)</f>
        <v>0</v>
      </c>
      <c r="AD194" s="499"/>
      <c r="AE194" s="499"/>
      <c r="AF194" s="425" t="str">
        <f t="shared" ref="AF194" si="126">IF(I194="","","천원/년")</f>
        <v/>
      </c>
      <c r="AG194" s="425"/>
      <c r="AH194" s="428">
        <f t="shared" ref="AH194" si="127">IF(W194=0,1,AC194/W194)</f>
        <v>1</v>
      </c>
      <c r="AI194" s="428"/>
      <c r="AJ194" s="334"/>
      <c r="AK194" s="334"/>
      <c r="AL194" s="334"/>
      <c r="AM194" s="422"/>
      <c r="AN194" s="1"/>
      <c r="AO194" s="370"/>
      <c r="AP194" s="371"/>
      <c r="AQ194" s="371"/>
      <c r="AR194" s="371"/>
      <c r="AS194" s="371"/>
      <c r="AT194" s="371"/>
      <c r="AU194" s="371"/>
      <c r="AV194" s="371"/>
      <c r="AW194" s="372"/>
      <c r="BF194" s="424">
        <f>IF($AB$7="",0,SUM($BF$167:BF193)+1)</f>
        <v>0</v>
      </c>
      <c r="BG194" s="415" t="str">
        <f t="shared" ref="BG194" si="128">$D$7</f>
        <v>ICT</v>
      </c>
      <c r="BH194" s="415"/>
      <c r="BI194" s="415"/>
      <c r="BJ194" s="415"/>
      <c r="BK194" s="415">
        <f>$AB$7</f>
        <v>0</v>
      </c>
      <c r="BL194" s="415"/>
      <c r="BM194" s="415"/>
      <c r="BN194" s="415"/>
      <c r="BO194" s="413">
        <f t="shared" ref="BO194" si="129">W194</f>
        <v>0</v>
      </c>
      <c r="BP194" s="413">
        <f t="shared" ref="BP194" si="130">Z194</f>
        <v>0</v>
      </c>
      <c r="BQ194" s="413">
        <f t="shared" ref="BQ194" si="131">ABS(BO194-BP194)</f>
        <v>0</v>
      </c>
      <c r="BR194" s="413" t="str">
        <f t="shared" ref="BR194" si="132">AF194</f>
        <v/>
      </c>
      <c r="BS194" s="414">
        <f t="shared" ref="BS194" si="133">AH194</f>
        <v>1</v>
      </c>
      <c r="BT194" s="413">
        <f t="shared" ref="BT194" si="134">AJ194</f>
        <v>0</v>
      </c>
      <c r="BU194" s="413">
        <f t="shared" ref="BU194" si="135">AL194</f>
        <v>0</v>
      </c>
      <c r="BV194">
        <f>SUM($BV$167:BV193)+1</f>
        <v>134217728</v>
      </c>
      <c r="BW194" t="e">
        <f t="shared" si="0"/>
        <v>#N/A</v>
      </c>
      <c r="BX194" t="e">
        <f t="shared" si="1"/>
        <v>#N/A</v>
      </c>
      <c r="BY194" t="e">
        <f t="shared" si="2"/>
        <v>#N/A</v>
      </c>
      <c r="BZ194" t="e">
        <f t="shared" si="3"/>
        <v>#N/A</v>
      </c>
      <c r="CA194" t="e">
        <f t="shared" si="64"/>
        <v>#N/A</v>
      </c>
      <c r="CB194" t="e">
        <f t="shared" si="12"/>
        <v>#N/A</v>
      </c>
      <c r="CC194" s="67" t="e">
        <f t="shared" si="5"/>
        <v>#N/A</v>
      </c>
      <c r="CD194" t="e">
        <f t="shared" si="6"/>
        <v>#N/A</v>
      </c>
      <c r="CE194" t="e">
        <f t="shared" si="7"/>
        <v>#N/A</v>
      </c>
      <c r="CF194" s="402"/>
      <c r="CH194" s="614"/>
      <c r="CI194" s="415"/>
      <c r="CJ194" s="415"/>
      <c r="CK194" s="415"/>
      <c r="CL194" s="415"/>
      <c r="CM194" s="415"/>
      <c r="CN194" s="415"/>
      <c r="CO194" s="415"/>
      <c r="CP194" s="615"/>
      <c r="CQ194" s="402"/>
      <c r="CR194" s="402"/>
      <c r="CT194" s="1"/>
    </row>
    <row r="195" spans="2:98" ht="17.100000000000001" customHeight="1" thickBot="1">
      <c r="B195" s="19"/>
      <c r="C195" s="19"/>
      <c r="D195" s="19"/>
      <c r="E195" s="19"/>
      <c r="F195" s="19"/>
      <c r="G195" s="19"/>
      <c r="H195" s="429"/>
      <c r="I195" s="339"/>
      <c r="J195" s="340"/>
      <c r="K195" s="340"/>
      <c r="L195" s="340"/>
      <c r="M195" s="326"/>
      <c r="N195" s="326"/>
      <c r="O195" s="326"/>
      <c r="P195" s="326"/>
      <c r="Q195" s="326"/>
      <c r="R195" s="326"/>
      <c r="S195" s="326"/>
      <c r="T195" s="326"/>
      <c r="U195" s="326"/>
      <c r="V195" s="326"/>
      <c r="W195" s="334"/>
      <c r="X195" s="334"/>
      <c r="Y195" s="334"/>
      <c r="Z195" s="334"/>
      <c r="AA195" s="334"/>
      <c r="AB195" s="334"/>
      <c r="AC195" s="499"/>
      <c r="AD195" s="499"/>
      <c r="AE195" s="499"/>
      <c r="AF195" s="425"/>
      <c r="AG195" s="425"/>
      <c r="AH195" s="428"/>
      <c r="AI195" s="428"/>
      <c r="AJ195" s="334"/>
      <c r="AK195" s="334"/>
      <c r="AL195" s="334"/>
      <c r="AM195" s="422"/>
      <c r="AN195" s="1"/>
      <c r="AO195" s="373"/>
      <c r="AP195" s="374"/>
      <c r="AQ195" s="374"/>
      <c r="AR195" s="374"/>
      <c r="AS195" s="374"/>
      <c r="AT195" s="374"/>
      <c r="AU195" s="374"/>
      <c r="AV195" s="374"/>
      <c r="AW195" s="375"/>
      <c r="BF195" s="424"/>
      <c r="BG195" s="415"/>
      <c r="BH195" s="415"/>
      <c r="BI195" s="415"/>
      <c r="BJ195" s="415"/>
      <c r="BK195" s="415"/>
      <c r="BL195" s="415"/>
      <c r="BM195" s="415"/>
      <c r="BN195" s="415"/>
      <c r="BO195" s="413"/>
      <c r="BP195" s="413"/>
      <c r="BQ195" s="413"/>
      <c r="BR195" s="413"/>
      <c r="BS195" s="413"/>
      <c r="BT195" s="413"/>
      <c r="BU195" s="413"/>
      <c r="BV195">
        <f>SUM($BV$167:BV194)+1</f>
        <v>268435456</v>
      </c>
      <c r="BW195" t="e">
        <f t="shared" si="0"/>
        <v>#N/A</v>
      </c>
      <c r="BX195" t="e">
        <f t="shared" si="1"/>
        <v>#N/A</v>
      </c>
      <c r="BY195" t="e">
        <f t="shared" si="2"/>
        <v>#N/A</v>
      </c>
      <c r="BZ195" t="e">
        <f t="shared" si="3"/>
        <v>#N/A</v>
      </c>
      <c r="CA195" t="e">
        <f t="shared" si="64"/>
        <v>#N/A</v>
      </c>
      <c r="CB195" t="e">
        <f t="shared" si="12"/>
        <v>#N/A</v>
      </c>
      <c r="CC195" s="67" t="e">
        <f t="shared" si="5"/>
        <v>#N/A</v>
      </c>
      <c r="CD195" t="e">
        <f t="shared" si="6"/>
        <v>#N/A</v>
      </c>
      <c r="CE195" t="e">
        <f t="shared" si="7"/>
        <v>#N/A</v>
      </c>
      <c r="CF195" s="402"/>
      <c r="CH195" s="614">
        <f>IF($AH$7="",0,SUM($CH$167:CH194)+1)</f>
        <v>0</v>
      </c>
      <c r="CI195" s="415" t="str">
        <f t="shared" ref="CI195" si="136">$D$7</f>
        <v>ICT</v>
      </c>
      <c r="CJ195" s="415"/>
      <c r="CK195" s="415"/>
      <c r="CL195" s="415"/>
      <c r="CM195" s="415">
        <f>$AH$7</f>
        <v>0</v>
      </c>
      <c r="CN195" s="415"/>
      <c r="CO195" s="415"/>
      <c r="CP195" s="615"/>
      <c r="CQ195" s="622">
        <f t="shared" ref="CQ195" si="137">$W196</f>
        <v>0</v>
      </c>
      <c r="CR195" s="622">
        <f t="shared" ref="CR195" si="138">$Z196</f>
        <v>0</v>
      </c>
      <c r="CT195" s="1"/>
    </row>
    <row r="196" spans="2:98" ht="17.100000000000001" customHeight="1" thickBot="1">
      <c r="B196" s="19"/>
      <c r="C196" s="19"/>
      <c r="D196" s="19"/>
      <c r="E196" s="19"/>
      <c r="F196" s="19"/>
      <c r="G196" s="19"/>
      <c r="H196" s="429">
        <f>IF($AH$7="",0,SUM($H$167:H194)+1)</f>
        <v>0</v>
      </c>
      <c r="I196" s="339" t="str">
        <f>IF($AH$7="","",$D$7&amp;CHAR(10)&amp;"("&amp;$AH$7&amp;")")</f>
        <v/>
      </c>
      <c r="J196" s="340"/>
      <c r="K196" s="340"/>
      <c r="L196" s="340"/>
      <c r="M196" s="326"/>
      <c r="N196" s="326"/>
      <c r="O196" s="326"/>
      <c r="P196" s="326"/>
      <c r="Q196" s="326"/>
      <c r="R196" s="326"/>
      <c r="S196" s="326"/>
      <c r="T196" s="326"/>
      <c r="U196" s="326"/>
      <c r="V196" s="326"/>
      <c r="W196" s="673"/>
      <c r="X196" s="365"/>
      <c r="Y196" s="365"/>
      <c r="Z196" s="673"/>
      <c r="AA196" s="365"/>
      <c r="AB196" s="365"/>
      <c r="AC196" s="612">
        <f t="shared" ref="AC196" si="139">ABS(W196-Z196)</f>
        <v>0</v>
      </c>
      <c r="AD196" s="612"/>
      <c r="AE196" s="612"/>
      <c r="AF196" s="475" t="str">
        <f t="shared" ref="AF196" si="140">IF(I196="","","천원/년")</f>
        <v/>
      </c>
      <c r="AG196" s="475"/>
      <c r="AH196" s="419">
        <f t="shared" ref="AH196" si="141">IF(W196=0,1,AC196/W196)</f>
        <v>1</v>
      </c>
      <c r="AI196" s="419"/>
      <c r="AJ196" s="365"/>
      <c r="AK196" s="365"/>
      <c r="AL196" s="334"/>
      <c r="AM196" s="422"/>
      <c r="AN196" s="1"/>
      <c r="AS196" s="73"/>
      <c r="AT196" s="65"/>
      <c r="AU196" s="65"/>
      <c r="AV196" s="65"/>
      <c r="AW196" s="65"/>
      <c r="BF196" s="424">
        <f>IF($AH$7="",0,SUM($BF$167:BF195)+1)</f>
        <v>0</v>
      </c>
      <c r="BG196" s="415" t="str">
        <f t="shared" ref="BG196" si="142">$D$7</f>
        <v>ICT</v>
      </c>
      <c r="BH196" s="415"/>
      <c r="BI196" s="415"/>
      <c r="BJ196" s="415"/>
      <c r="BK196" s="415">
        <f>$AH$7</f>
        <v>0</v>
      </c>
      <c r="BL196" s="415"/>
      <c r="BM196" s="415"/>
      <c r="BN196" s="415"/>
      <c r="BO196" s="413">
        <f t="shared" ref="BO196" si="143">W196</f>
        <v>0</v>
      </c>
      <c r="BP196" s="413">
        <f t="shared" ref="BP196" si="144">Z196</f>
        <v>0</v>
      </c>
      <c r="BQ196" s="413">
        <f t="shared" ref="BQ196" si="145">ABS(BO196-BP196)</f>
        <v>0</v>
      </c>
      <c r="BR196" s="413" t="str">
        <f t="shared" ref="BR196" si="146">AF196</f>
        <v/>
      </c>
      <c r="BS196" s="414">
        <f t="shared" ref="BS196" si="147">AH196</f>
        <v>1</v>
      </c>
      <c r="BT196" s="413">
        <f t="shared" ref="BT196" si="148">AJ196</f>
        <v>0</v>
      </c>
      <c r="BU196" s="413">
        <f t="shared" ref="BU196" si="149">AL196</f>
        <v>0</v>
      </c>
      <c r="BV196">
        <f>SUM($BV$167:BV195)+1</f>
        <v>536870912</v>
      </c>
      <c r="BW196" t="e">
        <f t="shared" si="0"/>
        <v>#N/A</v>
      </c>
      <c r="BX196" t="e">
        <f t="shared" si="1"/>
        <v>#N/A</v>
      </c>
      <c r="BY196" t="e">
        <f t="shared" si="2"/>
        <v>#N/A</v>
      </c>
      <c r="BZ196" t="e">
        <f t="shared" si="3"/>
        <v>#N/A</v>
      </c>
      <c r="CA196" t="e">
        <f t="shared" si="64"/>
        <v>#N/A</v>
      </c>
      <c r="CB196" t="e">
        <f t="shared" si="12"/>
        <v>#N/A</v>
      </c>
      <c r="CC196" s="67" t="e">
        <f t="shared" si="5"/>
        <v>#N/A</v>
      </c>
      <c r="CD196" t="e">
        <f t="shared" si="6"/>
        <v>#N/A</v>
      </c>
      <c r="CE196" t="e">
        <f t="shared" si="7"/>
        <v>#N/A</v>
      </c>
      <c r="CF196" s="402"/>
      <c r="CH196" s="616"/>
      <c r="CI196" s="617"/>
      <c r="CJ196" s="617"/>
      <c r="CK196" s="617"/>
      <c r="CL196" s="617"/>
      <c r="CM196" s="617"/>
      <c r="CN196" s="617"/>
      <c r="CO196" s="617"/>
      <c r="CP196" s="618"/>
      <c r="CQ196" s="402"/>
      <c r="CR196" s="402"/>
      <c r="CT196" s="1"/>
    </row>
    <row r="197" spans="2:98" ht="17.100000000000001" customHeight="1" thickBot="1">
      <c r="B197" s="19"/>
      <c r="C197" s="19"/>
      <c r="D197" s="19"/>
      <c r="E197" s="19"/>
      <c r="F197" s="19"/>
      <c r="G197" s="19"/>
      <c r="H197" s="429"/>
      <c r="I197" s="480"/>
      <c r="J197" s="481"/>
      <c r="K197" s="481"/>
      <c r="L197" s="481"/>
      <c r="M197" s="483"/>
      <c r="N197" s="483"/>
      <c r="O197" s="483"/>
      <c r="P197" s="483"/>
      <c r="Q197" s="483"/>
      <c r="R197" s="483"/>
      <c r="S197" s="483"/>
      <c r="T197" s="483"/>
      <c r="U197" s="483"/>
      <c r="V197" s="483"/>
      <c r="W197" s="433"/>
      <c r="X197" s="433"/>
      <c r="Y197" s="433"/>
      <c r="Z197" s="433"/>
      <c r="AA197" s="433"/>
      <c r="AB197" s="433"/>
      <c r="AC197" s="607"/>
      <c r="AD197" s="607"/>
      <c r="AE197" s="607"/>
      <c r="AF197" s="464"/>
      <c r="AG197" s="464"/>
      <c r="AH197" s="479"/>
      <c r="AI197" s="479"/>
      <c r="AJ197" s="433"/>
      <c r="AK197" s="433"/>
      <c r="AL197" s="433"/>
      <c r="AM197" s="597"/>
      <c r="AN197" s="1"/>
      <c r="AS197" s="73"/>
      <c r="AT197" s="65"/>
      <c r="AU197" s="65"/>
      <c r="AV197" s="65"/>
      <c r="AW197" s="65"/>
      <c r="BF197" s="424"/>
      <c r="BG197" s="415"/>
      <c r="BH197" s="415"/>
      <c r="BI197" s="415"/>
      <c r="BJ197" s="415"/>
      <c r="BK197" s="415"/>
      <c r="BL197" s="415"/>
      <c r="BM197" s="415"/>
      <c r="BN197" s="415"/>
      <c r="BO197" s="413"/>
      <c r="BP197" s="413"/>
      <c r="BQ197" s="413"/>
      <c r="BR197" s="413"/>
      <c r="BS197" s="413"/>
      <c r="BT197" s="413"/>
      <c r="BU197" s="413"/>
      <c r="CC197" s="67"/>
      <c r="CF197" s="402"/>
      <c r="CG197" t="s">
        <v>202</v>
      </c>
      <c r="CH197" s="619">
        <f>IF($J$8="",0,SUM($CH$167:CH196)+1)</f>
        <v>8</v>
      </c>
      <c r="CI197" s="620" t="str">
        <f>$D$8</f>
        <v>대기오염 저감</v>
      </c>
      <c r="CJ197" s="620"/>
      <c r="CK197" s="620"/>
      <c r="CL197" s="620"/>
      <c r="CM197" s="620" t="str">
        <f>$J$8</f>
        <v>고효율 여과 집진시설</v>
      </c>
      <c r="CN197" s="620"/>
      <c r="CO197" s="620"/>
      <c r="CP197" s="621"/>
      <c r="CQ197" s="402">
        <f>$W199</f>
        <v>8.5000000000000006E-3</v>
      </c>
      <c r="CR197" s="402">
        <f>$Z199</f>
        <v>8.4999999999999995E-4</v>
      </c>
      <c r="CT197" s="1"/>
    </row>
    <row r="198" spans="2:98" ht="17.100000000000001" customHeight="1" thickBot="1">
      <c r="B198" s="19"/>
      <c r="C198" s="19"/>
      <c r="D198" s="19"/>
      <c r="E198" s="19"/>
      <c r="F198" s="19"/>
      <c r="G198" s="19"/>
      <c r="H198" s="170"/>
      <c r="I198" s="490" t="str">
        <f>IF(SUM(H188:H197)&gt;0,"합계","")</f>
        <v>합계</v>
      </c>
      <c r="J198" s="491"/>
      <c r="K198" s="491"/>
      <c r="L198" s="491"/>
      <c r="M198" s="491"/>
      <c r="N198" s="491"/>
      <c r="O198" s="491"/>
      <c r="P198" s="491"/>
      <c r="Q198" s="491"/>
      <c r="R198" s="491"/>
      <c r="S198" s="491"/>
      <c r="T198" s="491"/>
      <c r="U198" s="491"/>
      <c r="V198" s="492"/>
      <c r="W198" s="411">
        <f>SUMIF($AF$188:$AG$197,$AF$198,W188:Y197)</f>
        <v>0</v>
      </c>
      <c r="X198" s="443"/>
      <c r="Y198" s="444"/>
      <c r="Z198" s="411">
        <f>SUMIF($AF$188:$AG$197,$AF$198,Z188:AB197)</f>
        <v>102005</v>
      </c>
      <c r="AA198" s="443"/>
      <c r="AB198" s="444"/>
      <c r="AC198" s="411">
        <f>SUMIF($AF$188:$AG$197,$AF$198,AC188:AE197)</f>
        <v>102005</v>
      </c>
      <c r="AD198" s="443"/>
      <c r="AE198" s="444"/>
      <c r="AF198" s="411" t="s">
        <v>213</v>
      </c>
      <c r="AG198" s="444"/>
      <c r="AH198" s="598">
        <f>IF(W198=0,1,AC198/W198)</f>
        <v>1</v>
      </c>
      <c r="AI198" s="599"/>
      <c r="AJ198" s="411"/>
      <c r="AK198" s="444"/>
      <c r="AL198" s="411"/>
      <c r="AM198" s="412"/>
      <c r="AN198" s="1"/>
      <c r="AS198" s="60"/>
      <c r="BF198" s="70">
        <f>IF(BK198="",0,SUM($BF$167:BF197)+1)</f>
        <v>16</v>
      </c>
      <c r="BG198" s="440" t="s">
        <v>242</v>
      </c>
      <c r="BH198" s="440"/>
      <c r="BI198" s="440"/>
      <c r="BJ198" s="440"/>
      <c r="BK198" s="440" t="str">
        <f>I198</f>
        <v>합계</v>
      </c>
      <c r="BL198" s="440"/>
      <c r="BM198" s="440"/>
      <c r="BN198" s="440"/>
      <c r="BO198" s="70">
        <f>W198</f>
        <v>0</v>
      </c>
      <c r="BP198" s="70">
        <f>Z198</f>
        <v>102005</v>
      </c>
      <c r="BQ198" s="70">
        <f>ABS(BO198-BP198)</f>
        <v>102005</v>
      </c>
      <c r="BR198" s="70" t="str">
        <f>AF198</f>
        <v>천원/년</v>
      </c>
      <c r="BS198" s="71">
        <f>AH198</f>
        <v>1</v>
      </c>
      <c r="BT198" s="72"/>
      <c r="BU198" s="72"/>
      <c r="CC198" s="67"/>
      <c r="CF198" s="402"/>
      <c r="CH198" s="614"/>
      <c r="CI198" s="415"/>
      <c r="CJ198" s="415"/>
      <c r="CK198" s="415"/>
      <c r="CL198" s="415"/>
      <c r="CM198" s="415"/>
      <c r="CN198" s="415"/>
      <c r="CO198" s="415"/>
      <c r="CP198" s="615"/>
      <c r="CQ198" s="402"/>
      <c r="CR198" s="402"/>
    </row>
    <row r="199" spans="2:98" ht="17.100000000000001" customHeight="1">
      <c r="B199" s="19"/>
      <c r="C199" s="19"/>
      <c r="D199" s="19"/>
      <c r="E199" s="19" t="s">
        <v>133</v>
      </c>
      <c r="F199" s="19"/>
      <c r="G199" s="19"/>
      <c r="H199" s="429">
        <f>IF($J$8="",0,SUM($H$167:H197)+1)</f>
        <v>8</v>
      </c>
      <c r="I199" s="337" t="str">
        <f>IF($J$8="","",$D$8&amp;CHAR(10)&amp;"("&amp;$J$8&amp;")")</f>
        <v>대기오염 저감
(고효율 여과 집진시설)</v>
      </c>
      <c r="J199" s="338"/>
      <c r="K199" s="338"/>
      <c r="L199" s="338"/>
      <c r="M199" s="482" t="s">
        <v>697</v>
      </c>
      <c r="N199" s="482"/>
      <c r="O199" s="482"/>
      <c r="P199" s="482"/>
      <c r="Q199" s="482"/>
      <c r="R199" s="482" t="s">
        <v>698</v>
      </c>
      <c r="S199" s="482"/>
      <c r="T199" s="482"/>
      <c r="U199" s="482"/>
      <c r="V199" s="482"/>
      <c r="W199" s="365">
        <v>8.5000000000000006E-3</v>
      </c>
      <c r="X199" s="365"/>
      <c r="Y199" s="365"/>
      <c r="Z199" s="365">
        <v>8.4999999999999995E-4</v>
      </c>
      <c r="AA199" s="365"/>
      <c r="AB199" s="365"/>
      <c r="AC199" s="463">
        <f>ABS(W199-Z199)</f>
        <v>7.6500000000000005E-3</v>
      </c>
      <c r="AD199" s="463"/>
      <c r="AE199" s="463"/>
      <c r="AF199" s="463" t="str">
        <f>IF(I199="","","ppm")</f>
        <v>ppm</v>
      </c>
      <c r="AG199" s="463"/>
      <c r="AH199" s="478">
        <f>AC199/W199</f>
        <v>0.9</v>
      </c>
      <c r="AI199" s="478"/>
      <c r="AJ199" s="484">
        <v>0.53</v>
      </c>
      <c r="AK199" s="484"/>
      <c r="AL199" s="484">
        <v>6.38</v>
      </c>
      <c r="AM199" s="604"/>
      <c r="AN199" s="465"/>
      <c r="AS199" s="73"/>
      <c r="AT199" s="65"/>
      <c r="AU199" s="65"/>
      <c r="AV199" s="65"/>
      <c r="AW199" s="65"/>
      <c r="BE199" t="s">
        <v>156</v>
      </c>
      <c r="BF199" s="424">
        <f>IF($J$8="",0,SUM($BF$167:BF198)+1)</f>
        <v>32</v>
      </c>
      <c r="BG199" s="415" t="str">
        <f>$D$8</f>
        <v>대기오염 저감</v>
      </c>
      <c r="BH199" s="415"/>
      <c r="BI199" s="415"/>
      <c r="BJ199" s="415"/>
      <c r="BK199" s="415" t="str">
        <f>$J$8</f>
        <v>고효율 여과 집진시설</v>
      </c>
      <c r="BL199" s="415"/>
      <c r="BM199" s="415"/>
      <c r="BN199" s="415"/>
      <c r="BO199" s="413">
        <f>W199</f>
        <v>8.5000000000000006E-3</v>
      </c>
      <c r="BP199" s="413">
        <f>Z199</f>
        <v>8.4999999999999995E-4</v>
      </c>
      <c r="BQ199" s="413">
        <f t="shared" ref="BQ199:BQ207" si="150">BO199-BP199</f>
        <v>7.6500000000000005E-3</v>
      </c>
      <c r="BR199" s="413" t="str">
        <f t="shared" ref="BR199:BR218" si="151">AF199</f>
        <v>ppm</v>
      </c>
      <c r="BS199" s="414">
        <f t="shared" ref="BS199:BS207" si="152">AH199</f>
        <v>0.9</v>
      </c>
      <c r="BT199" s="413">
        <f t="shared" ref="BT199" si="153">AJ199</f>
        <v>0.53</v>
      </c>
      <c r="BU199" s="413">
        <f t="shared" ref="BU199" si="154">AL199</f>
        <v>6.38</v>
      </c>
      <c r="CC199" s="67"/>
      <c r="CF199" s="402">
        <f>SUM($CF$167:CF198)*2</f>
        <v>92826</v>
      </c>
      <c r="CH199" s="614">
        <f>IF($P$8="",0,SUM($CH$167:CH198)+1)</f>
        <v>0</v>
      </c>
      <c r="CI199" s="415" t="str">
        <f t="shared" ref="CI199" si="155">$D$8</f>
        <v>대기오염 저감</v>
      </c>
      <c r="CJ199" s="415"/>
      <c r="CK199" s="415"/>
      <c r="CL199" s="415"/>
      <c r="CM199" s="415">
        <f>$P$8</f>
        <v>0</v>
      </c>
      <c r="CN199" s="415"/>
      <c r="CO199" s="415"/>
      <c r="CP199" s="615"/>
      <c r="CQ199" s="402">
        <f t="shared" ref="CQ199" si="156">$W201</f>
        <v>0</v>
      </c>
      <c r="CR199" s="402">
        <f t="shared" ref="CR199" si="157">$Z201</f>
        <v>0</v>
      </c>
    </row>
    <row r="200" spans="2:98" ht="17.100000000000001" customHeight="1">
      <c r="B200" s="19"/>
      <c r="C200" s="19"/>
      <c r="D200" s="19"/>
      <c r="E200" s="19"/>
      <c r="F200" s="19"/>
      <c r="G200" s="19"/>
      <c r="H200" s="429"/>
      <c r="I200" s="480"/>
      <c r="J200" s="481"/>
      <c r="K200" s="481"/>
      <c r="L200" s="481"/>
      <c r="M200" s="326"/>
      <c r="N200" s="326"/>
      <c r="O200" s="326"/>
      <c r="P200" s="326"/>
      <c r="Q200" s="326"/>
      <c r="R200" s="326"/>
      <c r="S200" s="326"/>
      <c r="T200" s="326"/>
      <c r="U200" s="326"/>
      <c r="V200" s="326"/>
      <c r="W200" s="433"/>
      <c r="X200" s="433"/>
      <c r="Y200" s="433"/>
      <c r="Z200" s="433"/>
      <c r="AA200" s="433"/>
      <c r="AB200" s="433"/>
      <c r="AC200" s="464"/>
      <c r="AD200" s="464"/>
      <c r="AE200" s="464"/>
      <c r="AF200" s="425"/>
      <c r="AG200" s="425"/>
      <c r="AH200" s="428"/>
      <c r="AI200" s="428"/>
      <c r="AJ200" s="334"/>
      <c r="AK200" s="334"/>
      <c r="AL200" s="334"/>
      <c r="AM200" s="422"/>
      <c r="AN200" s="465"/>
      <c r="AS200" s="73"/>
      <c r="AT200" s="65"/>
      <c r="AU200" s="65"/>
      <c r="AV200" s="65"/>
      <c r="AW200" s="65"/>
      <c r="BF200" s="424"/>
      <c r="BG200" s="415"/>
      <c r="BH200" s="415"/>
      <c r="BI200" s="415"/>
      <c r="BJ200" s="415"/>
      <c r="BK200" s="415"/>
      <c r="BL200" s="415"/>
      <c r="BM200" s="415"/>
      <c r="BN200" s="415"/>
      <c r="BO200" s="413"/>
      <c r="BP200" s="413"/>
      <c r="BQ200" s="413"/>
      <c r="BR200" s="413"/>
      <c r="BS200" s="413"/>
      <c r="BT200" s="413"/>
      <c r="BU200" s="413"/>
      <c r="CC200" s="67"/>
      <c r="CF200" s="402"/>
      <c r="CH200" s="614"/>
      <c r="CI200" s="415"/>
      <c r="CJ200" s="415"/>
      <c r="CK200" s="415"/>
      <c r="CL200" s="415"/>
      <c r="CM200" s="415"/>
      <c r="CN200" s="415"/>
      <c r="CO200" s="415"/>
      <c r="CP200" s="615"/>
      <c r="CQ200" s="402"/>
      <c r="CR200" s="402"/>
    </row>
    <row r="201" spans="2:98" ht="17.100000000000001" customHeight="1">
      <c r="B201" s="19"/>
      <c r="C201" s="19"/>
      <c r="D201" s="19"/>
      <c r="E201" s="19"/>
      <c r="F201" s="19"/>
      <c r="G201" s="19"/>
      <c r="H201" s="429">
        <f>IF($P$8="",0,SUM($H$167:H199)+1)</f>
        <v>0</v>
      </c>
      <c r="I201" s="494" t="str">
        <f>IF($P$8="","",$D$8&amp;CHAR(10)&amp;"("&amp;$P$8&amp;")")</f>
        <v/>
      </c>
      <c r="J201" s="359"/>
      <c r="K201" s="359"/>
      <c r="L201" s="360"/>
      <c r="M201" s="326"/>
      <c r="N201" s="326"/>
      <c r="O201" s="326"/>
      <c r="P201" s="326"/>
      <c r="Q201" s="326"/>
      <c r="R201" s="326"/>
      <c r="S201" s="326"/>
      <c r="T201" s="326"/>
      <c r="U201" s="326"/>
      <c r="V201" s="326"/>
      <c r="W201" s="334"/>
      <c r="X201" s="334"/>
      <c r="Y201" s="334"/>
      <c r="Z201" s="334"/>
      <c r="AA201" s="334"/>
      <c r="AB201" s="334"/>
      <c r="AC201" s="425">
        <f t="shared" ref="AC201" si="158">ABS(W201-Z201)</f>
        <v>0</v>
      </c>
      <c r="AD201" s="425"/>
      <c r="AE201" s="425"/>
      <c r="AF201" s="425" t="str">
        <f t="shared" ref="AF201" si="159">IF(I201="","","ppm")</f>
        <v/>
      </c>
      <c r="AG201" s="425"/>
      <c r="AH201" s="466" t="e">
        <f t="shared" ref="AH201" si="160">AC201/W201</f>
        <v>#DIV/0!</v>
      </c>
      <c r="AI201" s="467"/>
      <c r="AJ201" s="334"/>
      <c r="AK201" s="334"/>
      <c r="AL201" s="334"/>
      <c r="AM201" s="422"/>
      <c r="AN201" s="465"/>
      <c r="AS201" s="60"/>
      <c r="AT201" s="65"/>
      <c r="AU201" s="65"/>
      <c r="AV201" s="65"/>
      <c r="AW201" s="65"/>
      <c r="BF201" s="424">
        <f>IF($P$8="",0,SUM($BF$167:BF200)+1)</f>
        <v>0</v>
      </c>
      <c r="BG201" s="415" t="str">
        <f t="shared" ref="BG201" si="161">$D$8</f>
        <v>대기오염 저감</v>
      </c>
      <c r="BH201" s="415"/>
      <c r="BI201" s="415"/>
      <c r="BJ201" s="415"/>
      <c r="BK201" s="415">
        <f>$P$8</f>
        <v>0</v>
      </c>
      <c r="BL201" s="415"/>
      <c r="BM201" s="415"/>
      <c r="BN201" s="415"/>
      <c r="BO201" s="413">
        <f>W201</f>
        <v>0</v>
      </c>
      <c r="BP201" s="413">
        <f t="shared" ref="BP201" si="162">Z201</f>
        <v>0</v>
      </c>
      <c r="BQ201" s="413">
        <f t="shared" si="150"/>
        <v>0</v>
      </c>
      <c r="BR201" s="413" t="str">
        <f t="shared" si="151"/>
        <v/>
      </c>
      <c r="BS201" s="414" t="e">
        <f t="shared" si="152"/>
        <v>#DIV/0!</v>
      </c>
      <c r="BT201" s="413">
        <f t="shared" ref="BT201" si="163">AJ201</f>
        <v>0</v>
      </c>
      <c r="BU201" s="413">
        <f t="shared" ref="BU201:BU218" si="164">AL201</f>
        <v>0</v>
      </c>
      <c r="CC201" s="67"/>
      <c r="CF201" s="402">
        <f>SUM($CF$167:CF200)*2</f>
        <v>278478</v>
      </c>
      <c r="CH201" s="614">
        <f>IF($V$8="",0,SUM($CH$167:CH200)+1)</f>
        <v>0</v>
      </c>
      <c r="CI201" s="415" t="str">
        <f t="shared" ref="CI201" si="165">$D$8</f>
        <v>대기오염 저감</v>
      </c>
      <c r="CJ201" s="415"/>
      <c r="CK201" s="415"/>
      <c r="CL201" s="415"/>
      <c r="CM201" s="415">
        <f>$V$8</f>
        <v>0</v>
      </c>
      <c r="CN201" s="415"/>
      <c r="CO201" s="415"/>
      <c r="CP201" s="615"/>
      <c r="CQ201" s="402">
        <f t="shared" ref="CQ201" si="166">$W203</f>
        <v>0</v>
      </c>
      <c r="CR201" s="402">
        <f t="shared" ref="CR201" si="167">$Z203</f>
        <v>0</v>
      </c>
    </row>
    <row r="202" spans="2:98" ht="17.100000000000001" customHeight="1">
      <c r="B202" s="19"/>
      <c r="C202" s="19"/>
      <c r="D202" s="19"/>
      <c r="E202" s="19"/>
      <c r="F202" s="19"/>
      <c r="G202" s="19"/>
      <c r="H202" s="429"/>
      <c r="I202" s="495"/>
      <c r="J202" s="496"/>
      <c r="K202" s="496"/>
      <c r="L202" s="497"/>
      <c r="M202" s="326"/>
      <c r="N202" s="326"/>
      <c r="O202" s="326"/>
      <c r="P202" s="326"/>
      <c r="Q202" s="326"/>
      <c r="R202" s="326"/>
      <c r="S202" s="326"/>
      <c r="T202" s="326"/>
      <c r="U202" s="326"/>
      <c r="V202" s="326"/>
      <c r="W202" s="334"/>
      <c r="X202" s="334"/>
      <c r="Y202" s="334"/>
      <c r="Z202" s="334"/>
      <c r="AA202" s="334"/>
      <c r="AB202" s="334"/>
      <c r="AC202" s="425"/>
      <c r="AD202" s="425"/>
      <c r="AE202" s="425"/>
      <c r="AF202" s="425"/>
      <c r="AG202" s="425"/>
      <c r="AH202" s="595"/>
      <c r="AI202" s="418"/>
      <c r="AJ202" s="334"/>
      <c r="AK202" s="334"/>
      <c r="AL202" s="334"/>
      <c r="AM202" s="422"/>
      <c r="AN202" s="465"/>
      <c r="AS202" s="62"/>
      <c r="AT202" s="65"/>
      <c r="AU202" s="65"/>
      <c r="AV202" s="65"/>
      <c r="AW202" s="65"/>
      <c r="BF202" s="424"/>
      <c r="BG202" s="415"/>
      <c r="BH202" s="415"/>
      <c r="BI202" s="415"/>
      <c r="BJ202" s="415"/>
      <c r="BK202" s="415"/>
      <c r="BL202" s="415"/>
      <c r="BM202" s="415"/>
      <c r="BN202" s="415"/>
      <c r="BO202" s="413"/>
      <c r="BP202" s="413"/>
      <c r="BQ202" s="413"/>
      <c r="BR202" s="413"/>
      <c r="BS202" s="413"/>
      <c r="BT202" s="413"/>
      <c r="BU202" s="413"/>
      <c r="CC202" s="67"/>
      <c r="CF202" s="402"/>
      <c r="CH202" s="614"/>
      <c r="CI202" s="415"/>
      <c r="CJ202" s="415"/>
      <c r="CK202" s="415"/>
      <c r="CL202" s="415"/>
      <c r="CM202" s="415"/>
      <c r="CN202" s="415"/>
      <c r="CO202" s="415"/>
      <c r="CP202" s="615"/>
      <c r="CQ202" s="402"/>
      <c r="CR202" s="402"/>
    </row>
    <row r="203" spans="2:98" ht="17.100000000000001" customHeight="1">
      <c r="B203" s="19"/>
      <c r="C203" s="19"/>
      <c r="D203" s="19"/>
      <c r="E203" s="19"/>
      <c r="F203" s="19"/>
      <c r="G203" s="19"/>
      <c r="H203" s="429">
        <f>IF($V$8="",0,SUM($H$167:H201)+1)</f>
        <v>0</v>
      </c>
      <c r="I203" s="494" t="str">
        <f>IF($V$8="","",$D$8&amp;CHAR(10)&amp;"("&amp;$V$8&amp;")")</f>
        <v/>
      </c>
      <c r="J203" s="359"/>
      <c r="K203" s="359"/>
      <c r="L203" s="360"/>
      <c r="M203" s="326"/>
      <c r="N203" s="326"/>
      <c r="O203" s="326"/>
      <c r="P203" s="326"/>
      <c r="Q203" s="326"/>
      <c r="R203" s="326"/>
      <c r="S203" s="326"/>
      <c r="T203" s="326"/>
      <c r="U203" s="326"/>
      <c r="V203" s="326"/>
      <c r="W203" s="334"/>
      <c r="X203" s="334"/>
      <c r="Y203" s="334"/>
      <c r="Z203" s="334"/>
      <c r="AA203" s="334"/>
      <c r="AB203" s="334"/>
      <c r="AC203" s="425">
        <f t="shared" ref="AC203" si="168">ABS(W203-Z203)</f>
        <v>0</v>
      </c>
      <c r="AD203" s="425"/>
      <c r="AE203" s="425"/>
      <c r="AF203" s="425" t="str">
        <f t="shared" ref="AF203" si="169">IF(I203="","","ppm")</f>
        <v/>
      </c>
      <c r="AG203" s="425"/>
      <c r="AH203" s="466" t="e">
        <f t="shared" ref="AH203" si="170">AC203/W203</f>
        <v>#DIV/0!</v>
      </c>
      <c r="AI203" s="467"/>
      <c r="AJ203" s="334"/>
      <c r="AK203" s="334"/>
      <c r="AL203" s="334"/>
      <c r="AM203" s="422"/>
      <c r="AN203" s="465"/>
      <c r="AS203" s="74"/>
      <c r="AT203" s="65"/>
      <c r="AU203" s="65"/>
      <c r="AV203" s="65"/>
      <c r="AW203" s="65"/>
      <c r="BF203" s="424">
        <f>IF($V$8="",0,SUM($BF$167:BF202)+1)</f>
        <v>0</v>
      </c>
      <c r="BG203" s="415" t="str">
        <f t="shared" ref="BG203" si="171">$D$8</f>
        <v>대기오염 저감</v>
      </c>
      <c r="BH203" s="415"/>
      <c r="BI203" s="415"/>
      <c r="BJ203" s="415"/>
      <c r="BK203" s="415">
        <f>$V$8</f>
        <v>0</v>
      </c>
      <c r="BL203" s="415"/>
      <c r="BM203" s="415"/>
      <c r="BN203" s="415"/>
      <c r="BO203" s="413">
        <f>W203</f>
        <v>0</v>
      </c>
      <c r="BP203" s="413">
        <f t="shared" ref="BP203" si="172">Z203</f>
        <v>0</v>
      </c>
      <c r="BQ203" s="413">
        <f t="shared" si="150"/>
        <v>0</v>
      </c>
      <c r="BR203" s="413" t="str">
        <f t="shared" si="151"/>
        <v/>
      </c>
      <c r="BS203" s="414" t="e">
        <f t="shared" si="152"/>
        <v>#DIV/0!</v>
      </c>
      <c r="BT203" s="413">
        <f t="shared" ref="BT203" si="173">AJ203</f>
        <v>0</v>
      </c>
      <c r="BU203" s="413">
        <f t="shared" si="164"/>
        <v>0</v>
      </c>
      <c r="CC203" s="67"/>
      <c r="CF203" s="402">
        <f>SUM($CF$167:CF202)*2</f>
        <v>835434</v>
      </c>
      <c r="CH203" s="614">
        <f>IF($AB$8="",0,SUM($CH$167:CH202)+1)</f>
        <v>0</v>
      </c>
      <c r="CI203" s="415" t="str">
        <f t="shared" ref="CI203" si="174">$D$8</f>
        <v>대기오염 저감</v>
      </c>
      <c r="CJ203" s="415"/>
      <c r="CK203" s="415"/>
      <c r="CL203" s="415"/>
      <c r="CM203" s="415">
        <f>$AB$8</f>
        <v>0</v>
      </c>
      <c r="CN203" s="415"/>
      <c r="CO203" s="415"/>
      <c r="CP203" s="615"/>
      <c r="CQ203" s="402">
        <f t="shared" ref="CQ203" si="175">$W205</f>
        <v>0</v>
      </c>
      <c r="CR203" s="402">
        <f t="shared" ref="CR203" si="176">$Z205</f>
        <v>0</v>
      </c>
    </row>
    <row r="204" spans="2:98" ht="17.100000000000001" customHeight="1">
      <c r="B204" s="19"/>
      <c r="C204" s="19"/>
      <c r="D204" s="19"/>
      <c r="E204" s="19"/>
      <c r="F204" s="19"/>
      <c r="G204" s="19"/>
      <c r="H204" s="429"/>
      <c r="I204" s="495"/>
      <c r="J204" s="496"/>
      <c r="K204" s="496"/>
      <c r="L204" s="497"/>
      <c r="M204" s="326"/>
      <c r="N204" s="326"/>
      <c r="O204" s="326"/>
      <c r="P204" s="326"/>
      <c r="Q204" s="326"/>
      <c r="R204" s="326"/>
      <c r="S204" s="326"/>
      <c r="T204" s="326"/>
      <c r="U204" s="326"/>
      <c r="V204" s="326"/>
      <c r="W204" s="334"/>
      <c r="X204" s="334"/>
      <c r="Y204" s="334"/>
      <c r="Z204" s="334"/>
      <c r="AA204" s="334"/>
      <c r="AB204" s="334"/>
      <c r="AC204" s="425"/>
      <c r="AD204" s="425"/>
      <c r="AE204" s="425"/>
      <c r="AF204" s="425"/>
      <c r="AG204" s="425"/>
      <c r="AH204" s="595"/>
      <c r="AI204" s="418"/>
      <c r="AJ204" s="334"/>
      <c r="AK204" s="334"/>
      <c r="AL204" s="334"/>
      <c r="AM204" s="422"/>
      <c r="AN204" s="465"/>
      <c r="AS204" s="74"/>
      <c r="AT204" s="65"/>
      <c r="AU204" s="65"/>
      <c r="AV204" s="65"/>
      <c r="AW204" s="65"/>
      <c r="BF204" s="424"/>
      <c r="BG204" s="415"/>
      <c r="BH204" s="415"/>
      <c r="BI204" s="415"/>
      <c r="BJ204" s="415"/>
      <c r="BK204" s="415"/>
      <c r="BL204" s="415"/>
      <c r="BM204" s="415"/>
      <c r="BN204" s="415"/>
      <c r="BO204" s="413"/>
      <c r="BP204" s="413"/>
      <c r="BQ204" s="413"/>
      <c r="BR204" s="413"/>
      <c r="BS204" s="413"/>
      <c r="BT204" s="413"/>
      <c r="BU204" s="413"/>
      <c r="CC204" s="67"/>
      <c r="CF204" s="402"/>
      <c r="CH204" s="614"/>
      <c r="CI204" s="415"/>
      <c r="CJ204" s="415"/>
      <c r="CK204" s="415"/>
      <c r="CL204" s="415"/>
      <c r="CM204" s="415"/>
      <c r="CN204" s="415"/>
      <c r="CO204" s="415"/>
      <c r="CP204" s="615"/>
      <c r="CQ204" s="402"/>
      <c r="CR204" s="402"/>
    </row>
    <row r="205" spans="2:98" ht="17.100000000000001" customHeight="1">
      <c r="B205" s="19"/>
      <c r="C205" s="19"/>
      <c r="D205" s="19"/>
      <c r="E205" s="19"/>
      <c r="F205" s="19"/>
      <c r="G205" s="19"/>
      <c r="H205" s="429">
        <f>IF($AB$8="",0,SUM($H$167:H203)+1)</f>
        <v>0</v>
      </c>
      <c r="I205" s="494" t="str">
        <f>IF($AB$8="","",$D$8&amp;CHAR(10)&amp;"("&amp;$AB$8&amp;")")</f>
        <v/>
      </c>
      <c r="J205" s="359"/>
      <c r="K205" s="359"/>
      <c r="L205" s="360"/>
      <c r="M205" s="326"/>
      <c r="N205" s="326"/>
      <c r="O205" s="326"/>
      <c r="P205" s="326"/>
      <c r="Q205" s="326"/>
      <c r="R205" s="326"/>
      <c r="S205" s="326"/>
      <c r="T205" s="326"/>
      <c r="U205" s="326"/>
      <c r="V205" s="326"/>
      <c r="W205" s="334"/>
      <c r="X205" s="334"/>
      <c r="Y205" s="334"/>
      <c r="Z205" s="334"/>
      <c r="AA205" s="334"/>
      <c r="AB205" s="334"/>
      <c r="AC205" s="425">
        <f t="shared" ref="AC205" si="177">ABS(W205-Z205)</f>
        <v>0</v>
      </c>
      <c r="AD205" s="425"/>
      <c r="AE205" s="425"/>
      <c r="AF205" s="425" t="str">
        <f t="shared" ref="AF205" si="178">IF(I205="","","ppm")</f>
        <v/>
      </c>
      <c r="AG205" s="425"/>
      <c r="AH205" s="466" t="e">
        <f t="shared" ref="AH205" si="179">AC205/W205</f>
        <v>#DIV/0!</v>
      </c>
      <c r="AI205" s="467"/>
      <c r="AJ205" s="334"/>
      <c r="AK205" s="334"/>
      <c r="AL205" s="334"/>
      <c r="AM205" s="422"/>
      <c r="AN205" s="465"/>
      <c r="AS205" s="74"/>
      <c r="AT205" s="65"/>
      <c r="AU205" s="65"/>
      <c r="AV205" s="65"/>
      <c r="AW205" s="65"/>
      <c r="BF205" s="424">
        <f>IF($AB$8="",0,SUM($BF$167:BF204)+1)</f>
        <v>0</v>
      </c>
      <c r="BG205" s="415" t="str">
        <f t="shared" ref="BG205" si="180">$D$8</f>
        <v>대기오염 저감</v>
      </c>
      <c r="BH205" s="415"/>
      <c r="BI205" s="415"/>
      <c r="BJ205" s="415"/>
      <c r="BK205" s="415">
        <f>$AB$8</f>
        <v>0</v>
      </c>
      <c r="BL205" s="415"/>
      <c r="BM205" s="415"/>
      <c r="BN205" s="415"/>
      <c r="BO205" s="413">
        <f>W205</f>
        <v>0</v>
      </c>
      <c r="BP205" s="413">
        <f t="shared" ref="BP205" si="181">Z205</f>
        <v>0</v>
      </c>
      <c r="BQ205" s="413">
        <f t="shared" si="150"/>
        <v>0</v>
      </c>
      <c r="BR205" s="413" t="str">
        <f t="shared" si="151"/>
        <v/>
      </c>
      <c r="BS205" s="414" t="e">
        <f t="shared" si="152"/>
        <v>#DIV/0!</v>
      </c>
      <c r="BT205" s="413">
        <f t="shared" ref="BT205" si="182">AJ205</f>
        <v>0</v>
      </c>
      <c r="BU205" s="413">
        <f t="shared" si="164"/>
        <v>0</v>
      </c>
      <c r="CC205" s="67"/>
      <c r="CF205" s="402">
        <f>SUM($CF$167:CF204)*2</f>
        <v>2506302</v>
      </c>
      <c r="CH205" s="614">
        <f>IF($AH$8="",0,SUM($CH$167:CH204)+1)</f>
        <v>0</v>
      </c>
      <c r="CI205" s="415" t="str">
        <f t="shared" ref="CI205" si="183">$D$8</f>
        <v>대기오염 저감</v>
      </c>
      <c r="CJ205" s="415"/>
      <c r="CK205" s="415"/>
      <c r="CL205" s="415"/>
      <c r="CM205" s="415">
        <f>$AH$8</f>
        <v>0</v>
      </c>
      <c r="CN205" s="415"/>
      <c r="CO205" s="415"/>
      <c r="CP205" s="615"/>
      <c r="CQ205" s="402">
        <f t="shared" ref="CQ205" si="184">$W207</f>
        <v>0</v>
      </c>
      <c r="CR205" s="402">
        <f t="shared" ref="CR205" si="185">$Z207</f>
        <v>0</v>
      </c>
    </row>
    <row r="206" spans="2:98" ht="17.100000000000001" customHeight="1" thickBot="1">
      <c r="B206" s="19"/>
      <c r="C206" s="19"/>
      <c r="D206" s="19"/>
      <c r="E206" s="19"/>
      <c r="F206" s="19"/>
      <c r="G206" s="19"/>
      <c r="H206" s="429"/>
      <c r="I206" s="495"/>
      <c r="J206" s="496"/>
      <c r="K206" s="496"/>
      <c r="L206" s="497"/>
      <c r="M206" s="326"/>
      <c r="N206" s="326"/>
      <c r="O206" s="326"/>
      <c r="P206" s="326"/>
      <c r="Q206" s="326"/>
      <c r="R206" s="326"/>
      <c r="S206" s="326"/>
      <c r="T206" s="326"/>
      <c r="U206" s="326"/>
      <c r="V206" s="326"/>
      <c r="W206" s="334"/>
      <c r="X206" s="334"/>
      <c r="Y206" s="334"/>
      <c r="Z206" s="334"/>
      <c r="AA206" s="334"/>
      <c r="AB206" s="334"/>
      <c r="AC206" s="425"/>
      <c r="AD206" s="425"/>
      <c r="AE206" s="425"/>
      <c r="AF206" s="425"/>
      <c r="AG206" s="425"/>
      <c r="AH206" s="595"/>
      <c r="AI206" s="418"/>
      <c r="AJ206" s="334"/>
      <c r="AK206" s="334"/>
      <c r="AL206" s="334"/>
      <c r="AM206" s="422"/>
      <c r="AN206" s="465"/>
      <c r="AS206" s="60"/>
      <c r="AT206" s="65"/>
      <c r="AU206" s="65"/>
      <c r="AV206" s="65"/>
      <c r="AW206" s="65"/>
      <c r="BF206" s="424"/>
      <c r="BG206" s="415"/>
      <c r="BH206" s="415"/>
      <c r="BI206" s="415"/>
      <c r="BJ206" s="415"/>
      <c r="BK206" s="415"/>
      <c r="BL206" s="415"/>
      <c r="BM206" s="415"/>
      <c r="BN206" s="415"/>
      <c r="BO206" s="413"/>
      <c r="BP206" s="413"/>
      <c r="BQ206" s="413"/>
      <c r="BR206" s="413"/>
      <c r="BS206" s="413"/>
      <c r="BT206" s="413"/>
      <c r="BU206" s="413"/>
      <c r="CC206" s="67"/>
      <c r="CF206" s="402"/>
      <c r="CH206" s="616"/>
      <c r="CI206" s="617"/>
      <c r="CJ206" s="617"/>
      <c r="CK206" s="617"/>
      <c r="CL206" s="617"/>
      <c r="CM206" s="617"/>
      <c r="CN206" s="617"/>
      <c r="CO206" s="617"/>
      <c r="CP206" s="618"/>
      <c r="CQ206" s="402"/>
      <c r="CR206" s="402"/>
    </row>
    <row r="207" spans="2:98" ht="17.100000000000001" customHeight="1">
      <c r="B207" s="19"/>
      <c r="C207" s="19"/>
      <c r="D207" s="19"/>
      <c r="E207" s="19"/>
      <c r="F207" s="19"/>
      <c r="G207" s="19"/>
      <c r="H207" s="429">
        <f>IF($AH$8="",0,SUM($H$167:H205)+1)</f>
        <v>0</v>
      </c>
      <c r="I207" s="494" t="str">
        <f>IF($AH$8="","",$D$8&amp;CHAR(10)&amp;"("&amp;$AH$8&amp;")")</f>
        <v/>
      </c>
      <c r="J207" s="359"/>
      <c r="K207" s="359"/>
      <c r="L207" s="360"/>
      <c r="M207" s="326"/>
      <c r="N207" s="326"/>
      <c r="O207" s="326"/>
      <c r="P207" s="326"/>
      <c r="Q207" s="326"/>
      <c r="R207" s="326"/>
      <c r="S207" s="326"/>
      <c r="T207" s="326"/>
      <c r="U207" s="326"/>
      <c r="V207" s="326"/>
      <c r="W207" s="365"/>
      <c r="X207" s="365"/>
      <c r="Y207" s="365"/>
      <c r="Z207" s="365"/>
      <c r="AA207" s="365"/>
      <c r="AB207" s="365"/>
      <c r="AC207" s="475">
        <f t="shared" ref="AC207" si="186">ABS(W207-Z207)</f>
        <v>0</v>
      </c>
      <c r="AD207" s="475"/>
      <c r="AE207" s="475"/>
      <c r="AF207" s="425" t="str">
        <f t="shared" ref="AF207" si="187">IF(I207="","","ppm")</f>
        <v/>
      </c>
      <c r="AG207" s="425"/>
      <c r="AH207" s="428" t="e">
        <f t="shared" ref="AH207" si="188">AC207/W207</f>
        <v>#DIV/0!</v>
      </c>
      <c r="AI207" s="428"/>
      <c r="AJ207" s="334"/>
      <c r="AK207" s="334"/>
      <c r="AL207" s="334"/>
      <c r="AM207" s="422"/>
      <c r="AN207" s="465"/>
      <c r="AS207" s="62"/>
      <c r="AT207" s="65"/>
      <c r="AU207" s="65"/>
      <c r="AV207" s="65"/>
      <c r="AW207" s="65"/>
      <c r="BF207" s="424">
        <f>IF($AH$8="",0,SUM($BF$167:BF206)+1)</f>
        <v>0</v>
      </c>
      <c r="BG207" s="415" t="str">
        <f t="shared" ref="BG207" si="189">$D$8</f>
        <v>대기오염 저감</v>
      </c>
      <c r="BH207" s="415"/>
      <c r="BI207" s="415"/>
      <c r="BJ207" s="415"/>
      <c r="BK207" s="415">
        <f>$AH$8</f>
        <v>0</v>
      </c>
      <c r="BL207" s="415"/>
      <c r="BM207" s="415"/>
      <c r="BN207" s="415"/>
      <c r="BO207" s="413">
        <f>W207</f>
        <v>0</v>
      </c>
      <c r="BP207" s="413">
        <f t="shared" ref="BP207" si="190">Z207</f>
        <v>0</v>
      </c>
      <c r="BQ207" s="413">
        <f t="shared" si="150"/>
        <v>0</v>
      </c>
      <c r="BR207" s="413" t="str">
        <f t="shared" si="151"/>
        <v/>
      </c>
      <c r="BS207" s="414" t="e">
        <f t="shared" si="152"/>
        <v>#DIV/0!</v>
      </c>
      <c r="BT207" s="413">
        <f t="shared" ref="BT207" si="191">AJ207</f>
        <v>0</v>
      </c>
      <c r="BU207" s="413">
        <f t="shared" si="164"/>
        <v>0</v>
      </c>
      <c r="CC207" s="67"/>
      <c r="CF207" s="402">
        <f>SUM($CF$167:CF206)*2</f>
        <v>7518906</v>
      </c>
      <c r="CG207" t="s">
        <v>157</v>
      </c>
      <c r="CH207" s="619">
        <f>IF($J$9="",0,SUM($CH$167:CH206)+1)</f>
        <v>0</v>
      </c>
      <c r="CI207" s="620" t="str">
        <f>$D$9</f>
        <v>수질오염 저감</v>
      </c>
      <c r="CJ207" s="620"/>
      <c r="CK207" s="620"/>
      <c r="CL207" s="620"/>
      <c r="CM207" s="620">
        <f>$J$9</f>
        <v>0</v>
      </c>
      <c r="CN207" s="620"/>
      <c r="CO207" s="620"/>
      <c r="CP207" s="621"/>
      <c r="CQ207" s="402">
        <f>$W210</f>
        <v>99</v>
      </c>
      <c r="CR207" s="402">
        <f>$Z210</f>
        <v>1</v>
      </c>
    </row>
    <row r="208" spans="2:98" ht="17.100000000000001" customHeight="1" thickBot="1">
      <c r="B208" s="19"/>
      <c r="C208" s="19"/>
      <c r="D208" s="19"/>
      <c r="E208" s="19"/>
      <c r="F208" s="19"/>
      <c r="G208" s="19"/>
      <c r="H208" s="429"/>
      <c r="I208" s="600"/>
      <c r="J208" s="601"/>
      <c r="K208" s="601"/>
      <c r="L208" s="602"/>
      <c r="M208" s="432"/>
      <c r="N208" s="432"/>
      <c r="O208" s="432"/>
      <c r="P208" s="432"/>
      <c r="Q208" s="432"/>
      <c r="R208" s="432"/>
      <c r="S208" s="432"/>
      <c r="T208" s="432"/>
      <c r="U208" s="432"/>
      <c r="V208" s="432"/>
      <c r="W208" s="334"/>
      <c r="X208" s="334"/>
      <c r="Y208" s="334"/>
      <c r="Z208" s="433"/>
      <c r="AA208" s="433"/>
      <c r="AB208" s="433"/>
      <c r="AC208" s="426"/>
      <c r="AD208" s="426"/>
      <c r="AE208" s="426"/>
      <c r="AF208" s="426"/>
      <c r="AG208" s="426"/>
      <c r="AH208" s="420"/>
      <c r="AI208" s="420"/>
      <c r="AJ208" s="421"/>
      <c r="AK208" s="421"/>
      <c r="AL208" s="421"/>
      <c r="AM208" s="423"/>
      <c r="AN208" s="465"/>
      <c r="AS208" s="74"/>
      <c r="AT208" s="65"/>
      <c r="AU208" s="65"/>
      <c r="AV208" s="65"/>
      <c r="AW208" s="65"/>
      <c r="BF208" s="424"/>
      <c r="BG208" s="415"/>
      <c r="BH208" s="415"/>
      <c r="BI208" s="415"/>
      <c r="BJ208" s="415"/>
      <c r="BK208" s="415"/>
      <c r="BL208" s="415"/>
      <c r="BM208" s="415"/>
      <c r="BN208" s="415"/>
      <c r="BO208" s="413"/>
      <c r="BP208" s="413"/>
      <c r="BQ208" s="413"/>
      <c r="BR208" s="413"/>
      <c r="BS208" s="413"/>
      <c r="BT208" s="413"/>
      <c r="BU208" s="413"/>
      <c r="CC208" s="67"/>
      <c r="CF208" s="402"/>
      <c r="CH208" s="614"/>
      <c r="CI208" s="415"/>
      <c r="CJ208" s="415"/>
      <c r="CK208" s="415"/>
      <c r="CL208" s="415"/>
      <c r="CM208" s="415"/>
      <c r="CN208" s="415"/>
      <c r="CO208" s="415"/>
      <c r="CP208" s="615"/>
      <c r="CQ208" s="402"/>
      <c r="CR208" s="402"/>
    </row>
    <row r="209" spans="2:96" ht="17.100000000000001" customHeight="1" thickBot="1">
      <c r="B209" s="19"/>
      <c r="C209" s="19"/>
      <c r="D209" s="19"/>
      <c r="E209" s="19"/>
      <c r="F209" s="19"/>
      <c r="G209" s="19"/>
      <c r="H209" s="170"/>
      <c r="I209" s="490" t="str">
        <f>IF(SUM(H199:H208)&gt;0,"합계","")</f>
        <v>합계</v>
      </c>
      <c r="J209" s="491"/>
      <c r="K209" s="491"/>
      <c r="L209" s="491"/>
      <c r="M209" s="491"/>
      <c r="N209" s="491"/>
      <c r="O209" s="491"/>
      <c r="P209" s="491"/>
      <c r="Q209" s="491"/>
      <c r="R209" s="491"/>
      <c r="S209" s="491"/>
      <c r="T209" s="491"/>
      <c r="U209" s="491"/>
      <c r="V209" s="492"/>
      <c r="W209" s="411">
        <f>SUMIF($AF$199:$AG$208,$AF$209,W199:Y208)</f>
        <v>8.5000000000000006E-3</v>
      </c>
      <c r="X209" s="443"/>
      <c r="Y209" s="444"/>
      <c r="Z209" s="411">
        <f t="shared" ref="Z209" si="192">SUMIF($AF$199:$AG$208,$AF$209,Z199:AB208)</f>
        <v>8.4999999999999995E-4</v>
      </c>
      <c r="AA209" s="443"/>
      <c r="AB209" s="444"/>
      <c r="AC209" s="411">
        <f t="shared" ref="AC209" si="193">SUMIF($AF$199:$AG$208,$AF$209,AC199:AE208)</f>
        <v>7.6500000000000005E-3</v>
      </c>
      <c r="AD209" s="443"/>
      <c r="AE209" s="444"/>
      <c r="AF209" s="411" t="s">
        <v>214</v>
      </c>
      <c r="AG209" s="444"/>
      <c r="AH209" s="598">
        <f>AC209/W209</f>
        <v>0.9</v>
      </c>
      <c r="AI209" s="599"/>
      <c r="AJ209" s="411"/>
      <c r="AK209" s="444"/>
      <c r="AL209" s="411"/>
      <c r="AM209" s="412"/>
      <c r="AN209" s="1"/>
      <c r="AS209" s="60"/>
      <c r="BF209" s="70">
        <f>IF(BK209="",0,SUM($BF$167:BF208)+1)</f>
        <v>64</v>
      </c>
      <c r="BG209" s="440" t="s">
        <v>243</v>
      </c>
      <c r="BH209" s="440"/>
      <c r="BI209" s="440"/>
      <c r="BJ209" s="440"/>
      <c r="BK209" s="440" t="str">
        <f>I209</f>
        <v>합계</v>
      </c>
      <c r="BL209" s="440"/>
      <c r="BM209" s="440"/>
      <c r="BN209" s="440"/>
      <c r="BO209" s="70">
        <f>W209</f>
        <v>8.5000000000000006E-3</v>
      </c>
      <c r="BP209" s="70">
        <f>Z209</f>
        <v>8.4999999999999995E-4</v>
      </c>
      <c r="BQ209" s="70">
        <f>ABS(BO209-BP209)</f>
        <v>7.6500000000000005E-3</v>
      </c>
      <c r="BR209" s="70" t="str">
        <f>AF209</f>
        <v>ppm</v>
      </c>
      <c r="BS209" s="71">
        <f>AH209</f>
        <v>0.9</v>
      </c>
      <c r="BT209" s="72"/>
      <c r="BU209" s="72"/>
      <c r="CC209" s="67"/>
      <c r="CF209" s="402">
        <f>SUM($CF$167:CF208)*2</f>
        <v>22556718</v>
      </c>
      <c r="CH209" s="614">
        <f>IF($P$9="",0,SUM($CH$167:CH208)+1)</f>
        <v>0</v>
      </c>
      <c r="CI209" s="415" t="str">
        <f t="shared" ref="CI209" si="194">$D$9</f>
        <v>수질오염 저감</v>
      </c>
      <c r="CJ209" s="415"/>
      <c r="CK209" s="415"/>
      <c r="CL209" s="415"/>
      <c r="CM209" s="415">
        <f>$P$9</f>
        <v>0</v>
      </c>
      <c r="CN209" s="415"/>
      <c r="CO209" s="415"/>
      <c r="CP209" s="615"/>
      <c r="CQ209" s="402">
        <f t="shared" ref="CQ209" si="195">$W212</f>
        <v>98</v>
      </c>
      <c r="CR209" s="402">
        <f t="shared" ref="CR209" si="196">$Z212</f>
        <v>2</v>
      </c>
    </row>
    <row r="210" spans="2:96" ht="17.100000000000001" customHeight="1">
      <c r="B210" s="19"/>
      <c r="C210" s="19"/>
      <c r="D210" s="19"/>
      <c r="E210" s="19" t="s">
        <v>134</v>
      </c>
      <c r="F210" s="19"/>
      <c r="G210" s="19"/>
      <c r="H210" s="429">
        <f>IF($J$9="",0,SUM($H$167:H208)+1)</f>
        <v>0</v>
      </c>
      <c r="I210" s="337" t="str">
        <f>IF($J$9="","",$D$9&amp;CHAR(10)&amp;"("&amp;$J$9&amp;")")</f>
        <v/>
      </c>
      <c r="J210" s="338"/>
      <c r="K210" s="338"/>
      <c r="L210" s="338"/>
      <c r="M210" s="482"/>
      <c r="N210" s="482"/>
      <c r="O210" s="482"/>
      <c r="P210" s="482"/>
      <c r="Q210" s="482"/>
      <c r="R210" s="482"/>
      <c r="S210" s="482"/>
      <c r="T210" s="482"/>
      <c r="U210" s="482"/>
      <c r="V210" s="482"/>
      <c r="W210" s="365">
        <v>99</v>
      </c>
      <c r="X210" s="365"/>
      <c r="Y210" s="365"/>
      <c r="Z210" s="365">
        <v>1</v>
      </c>
      <c r="AA210" s="365"/>
      <c r="AB210" s="365"/>
      <c r="AC210" s="463">
        <f>ABS(W210-Z210)</f>
        <v>98</v>
      </c>
      <c r="AD210" s="463"/>
      <c r="AE210" s="463"/>
      <c r="AF210" s="463" t="str">
        <f>IF(I210="","","ton/년")</f>
        <v/>
      </c>
      <c r="AG210" s="463"/>
      <c r="AH210" s="478">
        <f>AC210/W210</f>
        <v>0.98989898989898994</v>
      </c>
      <c r="AI210" s="478"/>
      <c r="AJ210" s="484"/>
      <c r="AK210" s="484"/>
      <c r="AL210" s="484"/>
      <c r="AM210" s="604"/>
      <c r="AN210" s="465"/>
      <c r="AS210" s="74"/>
      <c r="AT210" s="65"/>
      <c r="AU210" s="65"/>
      <c r="AV210" s="65"/>
      <c r="AW210" s="65"/>
      <c r="BE210" t="s">
        <v>157</v>
      </c>
      <c r="BF210" s="424">
        <f>IF($J$9="",0,SUM($BF$167:BF209)+1)</f>
        <v>0</v>
      </c>
      <c r="BG210" s="415" t="str">
        <f>$D$9</f>
        <v>수질오염 저감</v>
      </c>
      <c r="BH210" s="415"/>
      <c r="BI210" s="415"/>
      <c r="BJ210" s="415"/>
      <c r="BK210" s="415">
        <f>$J$9</f>
        <v>0</v>
      </c>
      <c r="BL210" s="415"/>
      <c r="BM210" s="415"/>
      <c r="BN210" s="415"/>
      <c r="BO210" s="413">
        <f>W210</f>
        <v>99</v>
      </c>
      <c r="BP210" s="413">
        <f>Z210</f>
        <v>1</v>
      </c>
      <c r="BQ210" s="413">
        <f t="shared" ref="BQ210:BQ218" si="197">BO210-BP210</f>
        <v>98</v>
      </c>
      <c r="BR210" s="413" t="str">
        <f t="shared" si="151"/>
        <v/>
      </c>
      <c r="BS210" s="414">
        <f t="shared" ref="BS210:BS229" si="198">AH210</f>
        <v>0.98989898989898994</v>
      </c>
      <c r="BT210" s="413">
        <f t="shared" ref="BT210" si="199">AJ210</f>
        <v>0</v>
      </c>
      <c r="BU210" s="413">
        <f t="shared" si="164"/>
        <v>0</v>
      </c>
      <c r="CC210" s="67"/>
      <c r="CF210" s="402"/>
      <c r="CH210" s="614"/>
      <c r="CI210" s="415"/>
      <c r="CJ210" s="415"/>
      <c r="CK210" s="415"/>
      <c r="CL210" s="415"/>
      <c r="CM210" s="415"/>
      <c r="CN210" s="415"/>
      <c r="CO210" s="415"/>
      <c r="CP210" s="615"/>
      <c r="CQ210" s="402"/>
      <c r="CR210" s="402"/>
    </row>
    <row r="211" spans="2:96" ht="17.100000000000001" customHeight="1">
      <c r="B211" s="19"/>
      <c r="C211" s="19"/>
      <c r="D211" s="19"/>
      <c r="E211" s="19"/>
      <c r="F211" s="19"/>
      <c r="G211" s="19"/>
      <c r="H211" s="429"/>
      <c r="I211" s="480"/>
      <c r="J211" s="481"/>
      <c r="K211" s="481"/>
      <c r="L211" s="481"/>
      <c r="M211" s="326"/>
      <c r="N211" s="326"/>
      <c r="O211" s="326"/>
      <c r="P211" s="326"/>
      <c r="Q211" s="326"/>
      <c r="R211" s="326"/>
      <c r="S211" s="326"/>
      <c r="T211" s="326"/>
      <c r="U211" s="326"/>
      <c r="V211" s="326"/>
      <c r="W211" s="433"/>
      <c r="X211" s="433"/>
      <c r="Y211" s="433"/>
      <c r="Z211" s="433"/>
      <c r="AA211" s="433"/>
      <c r="AB211" s="433"/>
      <c r="AC211" s="464"/>
      <c r="AD211" s="464"/>
      <c r="AE211" s="464"/>
      <c r="AF211" s="425"/>
      <c r="AG211" s="425"/>
      <c r="AH211" s="428"/>
      <c r="AI211" s="428"/>
      <c r="AJ211" s="334"/>
      <c r="AK211" s="334"/>
      <c r="AL211" s="334"/>
      <c r="AM211" s="422"/>
      <c r="AN211" s="465"/>
      <c r="AS211" s="74"/>
      <c r="AT211" s="65"/>
      <c r="AU211" s="65"/>
      <c r="AV211" s="65"/>
      <c r="AW211" s="65"/>
      <c r="BF211" s="424"/>
      <c r="BG211" s="415"/>
      <c r="BH211" s="415"/>
      <c r="BI211" s="415"/>
      <c r="BJ211" s="415"/>
      <c r="BK211" s="415"/>
      <c r="BL211" s="415"/>
      <c r="BM211" s="415"/>
      <c r="BN211" s="415"/>
      <c r="BO211" s="413"/>
      <c r="BP211" s="413"/>
      <c r="BQ211" s="413"/>
      <c r="BR211" s="413"/>
      <c r="BS211" s="413"/>
      <c r="BT211" s="413"/>
      <c r="BU211" s="413"/>
      <c r="CC211" s="67"/>
      <c r="CF211" s="402">
        <f>SUM($CF$167:CF210)*2</f>
        <v>67670154</v>
      </c>
      <c r="CH211" s="614">
        <f>IF($V$9="",0,SUM($CH$167:CH210)+1)</f>
        <v>0</v>
      </c>
      <c r="CI211" s="415" t="str">
        <f t="shared" ref="CI211" si="200">$D$9</f>
        <v>수질오염 저감</v>
      </c>
      <c r="CJ211" s="415"/>
      <c r="CK211" s="415"/>
      <c r="CL211" s="415"/>
      <c r="CM211" s="415">
        <f>$V$9</f>
        <v>0</v>
      </c>
      <c r="CN211" s="415"/>
      <c r="CO211" s="415"/>
      <c r="CP211" s="615"/>
      <c r="CQ211" s="402">
        <f t="shared" ref="CQ211" si="201">$W214</f>
        <v>97</v>
      </c>
      <c r="CR211" s="402">
        <f t="shared" ref="CR211" si="202">$Z214</f>
        <v>3</v>
      </c>
    </row>
    <row r="212" spans="2:96" ht="17.100000000000001" customHeight="1">
      <c r="B212" s="19"/>
      <c r="C212" s="19"/>
      <c r="D212" s="19"/>
      <c r="E212" s="19"/>
      <c r="F212" s="19"/>
      <c r="G212" s="19"/>
      <c r="H212" s="429">
        <f>IF($P$9="",0,SUM($H$167:H210)+1)</f>
        <v>0</v>
      </c>
      <c r="I212" s="339" t="str">
        <f>IF($P$9="","",$D$9&amp;CHAR(10)&amp;"("&amp;$P$9&amp;")")</f>
        <v/>
      </c>
      <c r="J212" s="340"/>
      <c r="K212" s="340"/>
      <c r="L212" s="340"/>
      <c r="M212" s="326"/>
      <c r="N212" s="326"/>
      <c r="O212" s="326"/>
      <c r="P212" s="326"/>
      <c r="Q212" s="326"/>
      <c r="R212" s="326"/>
      <c r="S212" s="326"/>
      <c r="T212" s="326"/>
      <c r="U212" s="326"/>
      <c r="V212" s="326"/>
      <c r="W212" s="334">
        <v>98</v>
      </c>
      <c r="X212" s="334"/>
      <c r="Y212" s="334"/>
      <c r="Z212" s="334">
        <v>2</v>
      </c>
      <c r="AA212" s="334"/>
      <c r="AB212" s="334"/>
      <c r="AC212" s="425">
        <f t="shared" ref="AC212" si="203">ABS(W212-Z212)</f>
        <v>96</v>
      </c>
      <c r="AD212" s="425"/>
      <c r="AE212" s="425"/>
      <c r="AF212" s="425" t="str">
        <f t="shared" ref="AF212" si="204">IF(I212="","","ton/년")</f>
        <v/>
      </c>
      <c r="AG212" s="425"/>
      <c r="AH212" s="428">
        <f t="shared" ref="AH212" si="205">AC212/W212</f>
        <v>0.97959183673469385</v>
      </c>
      <c r="AI212" s="428"/>
      <c r="AJ212" s="334"/>
      <c r="AK212" s="334"/>
      <c r="AL212" s="334"/>
      <c r="AM212" s="422"/>
      <c r="AN212" s="465"/>
      <c r="AS212" s="60"/>
      <c r="AT212" s="65"/>
      <c r="AU212" s="65"/>
      <c r="AV212" s="65"/>
      <c r="AW212" s="65"/>
      <c r="BF212" s="424">
        <f>IF($P$9="",0,SUM($BF$167:BF211)+1)</f>
        <v>0</v>
      </c>
      <c r="BG212" s="415" t="str">
        <f t="shared" ref="BG212" si="206">$D$9</f>
        <v>수질오염 저감</v>
      </c>
      <c r="BH212" s="415"/>
      <c r="BI212" s="415"/>
      <c r="BJ212" s="415"/>
      <c r="BK212" s="415">
        <f>$P$9</f>
        <v>0</v>
      </c>
      <c r="BL212" s="415"/>
      <c r="BM212" s="415"/>
      <c r="BN212" s="415"/>
      <c r="BO212" s="413">
        <f>W212</f>
        <v>98</v>
      </c>
      <c r="BP212" s="413">
        <f t="shared" ref="BP212" si="207">Z212</f>
        <v>2</v>
      </c>
      <c r="BQ212" s="413">
        <f t="shared" si="197"/>
        <v>96</v>
      </c>
      <c r="BR212" s="413" t="str">
        <f t="shared" si="151"/>
        <v/>
      </c>
      <c r="BS212" s="414">
        <f t="shared" si="198"/>
        <v>0.97959183673469385</v>
      </c>
      <c r="BT212" s="413">
        <f t="shared" ref="BT212" si="208">AJ212</f>
        <v>0</v>
      </c>
      <c r="BU212" s="413">
        <f t="shared" si="164"/>
        <v>0</v>
      </c>
      <c r="CC212" s="67"/>
      <c r="CF212" s="402"/>
      <c r="CH212" s="614"/>
      <c r="CI212" s="415"/>
      <c r="CJ212" s="415"/>
      <c r="CK212" s="415"/>
      <c r="CL212" s="415"/>
      <c r="CM212" s="415"/>
      <c r="CN212" s="415"/>
      <c r="CO212" s="415"/>
      <c r="CP212" s="615"/>
      <c r="CQ212" s="402"/>
      <c r="CR212" s="402"/>
    </row>
    <row r="213" spans="2:96" ht="17.100000000000001" customHeight="1">
      <c r="B213" s="19"/>
      <c r="C213" s="19"/>
      <c r="D213" s="19"/>
      <c r="E213" s="19"/>
      <c r="F213" s="19"/>
      <c r="G213" s="19"/>
      <c r="H213" s="429"/>
      <c r="I213" s="480"/>
      <c r="J213" s="481"/>
      <c r="K213" s="481"/>
      <c r="L213" s="481"/>
      <c r="M213" s="483"/>
      <c r="N213" s="483"/>
      <c r="O213" s="483"/>
      <c r="P213" s="483"/>
      <c r="Q213" s="483"/>
      <c r="R213" s="326"/>
      <c r="S213" s="326"/>
      <c r="T213" s="326"/>
      <c r="U213" s="326"/>
      <c r="V213" s="326"/>
      <c r="W213" s="334"/>
      <c r="X213" s="334"/>
      <c r="Y213" s="334"/>
      <c r="Z213" s="334"/>
      <c r="AA213" s="334"/>
      <c r="AB213" s="334"/>
      <c r="AC213" s="425"/>
      <c r="AD213" s="425"/>
      <c r="AE213" s="425"/>
      <c r="AF213" s="425"/>
      <c r="AG213" s="425"/>
      <c r="AH213" s="428"/>
      <c r="AI213" s="428"/>
      <c r="AJ213" s="334"/>
      <c r="AK213" s="334"/>
      <c r="AL213" s="334"/>
      <c r="AM213" s="422"/>
      <c r="AN213" s="465"/>
      <c r="AS213" s="62"/>
      <c r="AT213" s="65"/>
      <c r="AU213" s="65"/>
      <c r="AV213" s="65"/>
      <c r="AW213" s="65"/>
      <c r="BF213" s="424"/>
      <c r="BG213" s="415"/>
      <c r="BH213" s="415"/>
      <c r="BI213" s="415"/>
      <c r="BJ213" s="415"/>
      <c r="BK213" s="415"/>
      <c r="BL213" s="415"/>
      <c r="BM213" s="415"/>
      <c r="BN213" s="415"/>
      <c r="BO213" s="413"/>
      <c r="BP213" s="413"/>
      <c r="BQ213" s="413"/>
      <c r="BR213" s="413"/>
      <c r="BS213" s="413"/>
      <c r="BT213" s="413"/>
      <c r="BU213" s="413"/>
      <c r="CC213" s="67"/>
      <c r="CF213" s="402">
        <f>SUM($CF$167:CF212)*2</f>
        <v>203010462</v>
      </c>
      <c r="CH213" s="614">
        <f>IF($AB$9="",0,SUM($CH$167:CH212)+1)</f>
        <v>0</v>
      </c>
      <c r="CI213" s="415" t="str">
        <f t="shared" ref="CI213" si="209">$D$9</f>
        <v>수질오염 저감</v>
      </c>
      <c r="CJ213" s="415"/>
      <c r="CK213" s="415"/>
      <c r="CL213" s="415"/>
      <c r="CM213" s="415">
        <f>$AB$9</f>
        <v>0</v>
      </c>
      <c r="CN213" s="415"/>
      <c r="CO213" s="415"/>
      <c r="CP213" s="615"/>
      <c r="CQ213" s="402">
        <f t="shared" ref="CQ213" si="210">$W216</f>
        <v>96</v>
      </c>
      <c r="CR213" s="402">
        <f t="shared" ref="CR213" si="211">$Z216</f>
        <v>4</v>
      </c>
    </row>
    <row r="214" spans="2:96" ht="17.100000000000001" customHeight="1">
      <c r="B214" s="19"/>
      <c r="C214" s="19"/>
      <c r="D214" s="19"/>
      <c r="E214" s="19"/>
      <c r="F214" s="19"/>
      <c r="G214" s="19"/>
      <c r="H214" s="429">
        <f>IF($V$9="",0,SUM($H$167:H212)+1)</f>
        <v>0</v>
      </c>
      <c r="I214" s="339" t="str">
        <f>IF($V$9="","",$D$9&amp;CHAR(10)&amp;"("&amp;$V$9&amp;")")</f>
        <v/>
      </c>
      <c r="J214" s="340"/>
      <c r="K214" s="340"/>
      <c r="L214" s="340"/>
      <c r="M214" s="326"/>
      <c r="N214" s="326"/>
      <c r="O214" s="326"/>
      <c r="P214" s="326"/>
      <c r="Q214" s="326"/>
      <c r="R214" s="326"/>
      <c r="S214" s="326"/>
      <c r="T214" s="326"/>
      <c r="U214" s="326"/>
      <c r="V214" s="326"/>
      <c r="W214" s="334">
        <v>97</v>
      </c>
      <c r="X214" s="334"/>
      <c r="Y214" s="334"/>
      <c r="Z214" s="334">
        <v>3</v>
      </c>
      <c r="AA214" s="334"/>
      <c r="AB214" s="334"/>
      <c r="AC214" s="425">
        <f t="shared" ref="AC214" si="212">ABS(W214-Z214)</f>
        <v>94</v>
      </c>
      <c r="AD214" s="425"/>
      <c r="AE214" s="425"/>
      <c r="AF214" s="425" t="str">
        <f t="shared" ref="AF214" si="213">IF(I214="","","ton/년")</f>
        <v/>
      </c>
      <c r="AG214" s="425"/>
      <c r="AH214" s="428">
        <f t="shared" ref="AH214" si="214">AC214/W214</f>
        <v>0.96907216494845361</v>
      </c>
      <c r="AI214" s="428"/>
      <c r="AJ214" s="334"/>
      <c r="AK214" s="334"/>
      <c r="AL214" s="334"/>
      <c r="AM214" s="422"/>
      <c r="AN214" s="465"/>
      <c r="AS214" s="74"/>
      <c r="AT214" s="65"/>
      <c r="AU214" s="65"/>
      <c r="AV214" s="65"/>
      <c r="AW214" s="65"/>
      <c r="BF214" s="424">
        <f>IF($V$9="",0,SUM($BF$167:BF213)+1)</f>
        <v>0</v>
      </c>
      <c r="BG214" s="415" t="str">
        <f t="shared" ref="BG214" si="215">$D$9</f>
        <v>수질오염 저감</v>
      </c>
      <c r="BH214" s="415"/>
      <c r="BI214" s="415"/>
      <c r="BJ214" s="415"/>
      <c r="BK214" s="415">
        <f>$V$9</f>
        <v>0</v>
      </c>
      <c r="BL214" s="415"/>
      <c r="BM214" s="415"/>
      <c r="BN214" s="415"/>
      <c r="BO214" s="413">
        <f>W214</f>
        <v>97</v>
      </c>
      <c r="BP214" s="413">
        <f t="shared" ref="BP214" si="216">Z214</f>
        <v>3</v>
      </c>
      <c r="BQ214" s="413">
        <f t="shared" si="197"/>
        <v>94</v>
      </c>
      <c r="BR214" s="413" t="str">
        <f t="shared" si="151"/>
        <v/>
      </c>
      <c r="BS214" s="414">
        <f t="shared" si="198"/>
        <v>0.96907216494845361</v>
      </c>
      <c r="BT214" s="413">
        <f t="shared" ref="BT214" si="217">AJ214</f>
        <v>0</v>
      </c>
      <c r="BU214" s="413">
        <f t="shared" si="164"/>
        <v>0</v>
      </c>
      <c r="CC214" s="67"/>
      <c r="CF214" s="402"/>
      <c r="CH214" s="614"/>
      <c r="CI214" s="415"/>
      <c r="CJ214" s="415"/>
      <c r="CK214" s="415"/>
      <c r="CL214" s="415"/>
      <c r="CM214" s="415"/>
      <c r="CN214" s="415"/>
      <c r="CO214" s="415"/>
      <c r="CP214" s="615"/>
      <c r="CQ214" s="402"/>
      <c r="CR214" s="402"/>
    </row>
    <row r="215" spans="2:96" ht="17.100000000000001" customHeight="1">
      <c r="B215" s="19"/>
      <c r="C215" s="19"/>
      <c r="D215" s="19"/>
      <c r="E215" s="19"/>
      <c r="F215" s="19"/>
      <c r="G215" s="19"/>
      <c r="H215" s="429"/>
      <c r="I215" s="339"/>
      <c r="J215" s="340"/>
      <c r="K215" s="340"/>
      <c r="L215" s="340"/>
      <c r="M215" s="326"/>
      <c r="N215" s="326"/>
      <c r="O215" s="326"/>
      <c r="P215" s="326"/>
      <c r="Q215" s="326"/>
      <c r="R215" s="326"/>
      <c r="S215" s="326"/>
      <c r="T215" s="326"/>
      <c r="U215" s="326"/>
      <c r="V215" s="326"/>
      <c r="W215" s="334"/>
      <c r="X215" s="334"/>
      <c r="Y215" s="334"/>
      <c r="Z215" s="334"/>
      <c r="AA215" s="334"/>
      <c r="AB215" s="334"/>
      <c r="AC215" s="425"/>
      <c r="AD215" s="425"/>
      <c r="AE215" s="425"/>
      <c r="AF215" s="425"/>
      <c r="AG215" s="425"/>
      <c r="AH215" s="428"/>
      <c r="AI215" s="428"/>
      <c r="AJ215" s="334"/>
      <c r="AK215" s="334"/>
      <c r="AL215" s="334"/>
      <c r="AM215" s="422"/>
      <c r="AN215" s="465"/>
      <c r="AS215" s="74"/>
      <c r="AT215" s="65"/>
      <c r="AU215" s="65"/>
      <c r="AV215" s="65"/>
      <c r="AW215" s="65"/>
      <c r="BF215" s="424"/>
      <c r="BG215" s="415"/>
      <c r="BH215" s="415"/>
      <c r="BI215" s="415"/>
      <c r="BJ215" s="415"/>
      <c r="BK215" s="415"/>
      <c r="BL215" s="415"/>
      <c r="BM215" s="415"/>
      <c r="BN215" s="415"/>
      <c r="BO215" s="413"/>
      <c r="BP215" s="413"/>
      <c r="BQ215" s="413"/>
      <c r="BR215" s="413"/>
      <c r="BS215" s="413"/>
      <c r="BT215" s="413"/>
      <c r="BU215" s="413"/>
      <c r="CC215" s="67"/>
      <c r="CF215" s="402">
        <f>SUM($CF$167:CF214)*2</f>
        <v>609031386</v>
      </c>
      <c r="CH215" s="614">
        <f>IF($AH$9="",0,SUM($CH$167:CH214)+1)</f>
        <v>0</v>
      </c>
      <c r="CI215" s="415" t="str">
        <f t="shared" ref="CI215" si="218">$D$9</f>
        <v>수질오염 저감</v>
      </c>
      <c r="CJ215" s="415"/>
      <c r="CK215" s="415"/>
      <c r="CL215" s="415"/>
      <c r="CM215" s="415">
        <f>$AH$9</f>
        <v>0</v>
      </c>
      <c r="CN215" s="415"/>
      <c r="CO215" s="415"/>
      <c r="CP215" s="615"/>
      <c r="CQ215" s="402">
        <f t="shared" ref="CQ215" si="219">$W218</f>
        <v>95</v>
      </c>
      <c r="CR215" s="402">
        <f t="shared" ref="CR215" si="220">$Z218</f>
        <v>5</v>
      </c>
    </row>
    <row r="216" spans="2:96" ht="17.100000000000001" customHeight="1" thickBot="1">
      <c r="B216" s="19"/>
      <c r="C216" s="19"/>
      <c r="D216" s="19"/>
      <c r="E216" s="19"/>
      <c r="F216" s="19"/>
      <c r="G216" s="19"/>
      <c r="H216" s="429">
        <f>IF($AB$9="",0,SUM($H$167:H214)+1)</f>
        <v>0</v>
      </c>
      <c r="I216" s="339" t="str">
        <f>IF($AB$9="","",$D$9&amp;CHAR(10)&amp;"("&amp;$AB$9&amp;")")</f>
        <v/>
      </c>
      <c r="J216" s="340"/>
      <c r="K216" s="340"/>
      <c r="L216" s="340"/>
      <c r="M216" s="326"/>
      <c r="N216" s="326"/>
      <c r="O216" s="326"/>
      <c r="P216" s="326"/>
      <c r="Q216" s="326"/>
      <c r="R216" s="326"/>
      <c r="S216" s="326"/>
      <c r="T216" s="326"/>
      <c r="U216" s="326"/>
      <c r="V216" s="326"/>
      <c r="W216" s="334">
        <v>96</v>
      </c>
      <c r="X216" s="334"/>
      <c r="Y216" s="334"/>
      <c r="Z216" s="334">
        <v>4</v>
      </c>
      <c r="AA216" s="334"/>
      <c r="AB216" s="334"/>
      <c r="AC216" s="425">
        <f t="shared" ref="AC216" si="221">ABS(W216-Z216)</f>
        <v>92</v>
      </c>
      <c r="AD216" s="425"/>
      <c r="AE216" s="425"/>
      <c r="AF216" s="425" t="str">
        <f t="shared" ref="AF216" si="222">IF(I216="","","ton/년")</f>
        <v/>
      </c>
      <c r="AG216" s="425"/>
      <c r="AH216" s="428">
        <f t="shared" ref="AH216" si="223">AC216/W216</f>
        <v>0.95833333333333337</v>
      </c>
      <c r="AI216" s="428"/>
      <c r="AJ216" s="334"/>
      <c r="AK216" s="334"/>
      <c r="AL216" s="334"/>
      <c r="AM216" s="422"/>
      <c r="AN216" s="465"/>
      <c r="AS216" s="74"/>
      <c r="AT216" s="65"/>
      <c r="AU216" s="65"/>
      <c r="AV216" s="65"/>
      <c r="AW216" s="65"/>
      <c r="BF216" s="424">
        <f>IF($AB$9="",0,SUM($BF$167:BF215)+1)</f>
        <v>0</v>
      </c>
      <c r="BG216" s="415" t="str">
        <f t="shared" ref="BG216" si="224">$D$9</f>
        <v>수질오염 저감</v>
      </c>
      <c r="BH216" s="415"/>
      <c r="BI216" s="415"/>
      <c r="BJ216" s="415"/>
      <c r="BK216" s="415">
        <f>$AB$9</f>
        <v>0</v>
      </c>
      <c r="BL216" s="415"/>
      <c r="BM216" s="415"/>
      <c r="BN216" s="415"/>
      <c r="BO216" s="413">
        <f>W216</f>
        <v>96</v>
      </c>
      <c r="BP216" s="413">
        <f t="shared" ref="BP216" si="225">Z216</f>
        <v>4</v>
      </c>
      <c r="BQ216" s="413">
        <f t="shared" si="197"/>
        <v>92</v>
      </c>
      <c r="BR216" s="413" t="str">
        <f t="shared" si="151"/>
        <v/>
      </c>
      <c r="BS216" s="414">
        <f t="shared" si="198"/>
        <v>0.95833333333333337</v>
      </c>
      <c r="BT216" s="413">
        <f t="shared" ref="BT216" si="226">AJ216</f>
        <v>0</v>
      </c>
      <c r="BU216" s="413">
        <f t="shared" si="164"/>
        <v>0</v>
      </c>
      <c r="CC216" s="67"/>
      <c r="CF216" s="402"/>
      <c r="CH216" s="616"/>
      <c r="CI216" s="617"/>
      <c r="CJ216" s="617"/>
      <c r="CK216" s="617"/>
      <c r="CL216" s="617"/>
      <c r="CM216" s="617"/>
      <c r="CN216" s="617"/>
      <c r="CO216" s="617"/>
      <c r="CP216" s="618"/>
      <c r="CQ216" s="402"/>
      <c r="CR216" s="402"/>
    </row>
    <row r="217" spans="2:96" ht="17.100000000000001" customHeight="1">
      <c r="B217" s="19"/>
      <c r="C217" s="19"/>
      <c r="D217" s="19"/>
      <c r="E217" s="19"/>
      <c r="F217" s="19"/>
      <c r="G217" s="19"/>
      <c r="H217" s="429"/>
      <c r="I217" s="339"/>
      <c r="J217" s="340"/>
      <c r="K217" s="340"/>
      <c r="L217" s="340"/>
      <c r="M217" s="326"/>
      <c r="N217" s="326"/>
      <c r="O217" s="326"/>
      <c r="P217" s="326"/>
      <c r="Q217" s="326"/>
      <c r="R217" s="326"/>
      <c r="S217" s="326"/>
      <c r="T217" s="326"/>
      <c r="U217" s="326"/>
      <c r="V217" s="326"/>
      <c r="W217" s="334"/>
      <c r="X217" s="334"/>
      <c r="Y217" s="334"/>
      <c r="Z217" s="334"/>
      <c r="AA217" s="334"/>
      <c r="AB217" s="334"/>
      <c r="AC217" s="425"/>
      <c r="AD217" s="425"/>
      <c r="AE217" s="425"/>
      <c r="AF217" s="425"/>
      <c r="AG217" s="425"/>
      <c r="AH217" s="428"/>
      <c r="AI217" s="428"/>
      <c r="AJ217" s="334"/>
      <c r="AK217" s="334"/>
      <c r="AL217" s="334"/>
      <c r="AM217" s="422"/>
      <c r="AN217" s="465"/>
      <c r="AS217" s="60"/>
      <c r="AT217" s="65"/>
      <c r="AU217" s="65"/>
      <c r="AV217" s="65"/>
      <c r="AW217" s="65"/>
      <c r="BF217" s="424"/>
      <c r="BG217" s="415"/>
      <c r="BH217" s="415"/>
      <c r="BI217" s="415"/>
      <c r="BJ217" s="415"/>
      <c r="BK217" s="415"/>
      <c r="BL217" s="415"/>
      <c r="BM217" s="415"/>
      <c r="BN217" s="415"/>
      <c r="BO217" s="413"/>
      <c r="BP217" s="413"/>
      <c r="BQ217" s="413"/>
      <c r="BR217" s="413"/>
      <c r="BS217" s="413"/>
      <c r="BT217" s="413"/>
      <c r="BU217" s="413"/>
      <c r="CC217" s="67"/>
      <c r="CF217" s="402">
        <f>SUM($CF$167:CF216)*2</f>
        <v>1827094158</v>
      </c>
      <c r="CG217" t="s">
        <v>158</v>
      </c>
      <c r="CH217" s="619">
        <f>IF($J$10="",0,SUM($CH$167:CH216)+1)</f>
        <v>16</v>
      </c>
      <c r="CI217" s="620" t="str">
        <f>$D$10</f>
        <v>폐기물배출 저감</v>
      </c>
      <c r="CJ217" s="620"/>
      <c r="CK217" s="620"/>
      <c r="CL217" s="620"/>
      <c r="CM217" s="620" t="str">
        <f>$J$10</f>
        <v>발포라인 딥러닝 시스템</v>
      </c>
      <c r="CN217" s="620"/>
      <c r="CO217" s="620"/>
      <c r="CP217" s="621"/>
      <c r="CQ217" s="402">
        <f>$W221</f>
        <v>3.5</v>
      </c>
      <c r="CR217" s="402">
        <f>$Z221</f>
        <v>0.7</v>
      </c>
    </row>
    <row r="218" spans="2:96" ht="17.100000000000001" customHeight="1">
      <c r="B218" s="19"/>
      <c r="C218" s="19"/>
      <c r="D218" s="19"/>
      <c r="E218" s="19"/>
      <c r="F218" s="19"/>
      <c r="G218" s="19"/>
      <c r="H218" s="429">
        <f>IF($AH$9="",0,SUM($H$167:H216)+1)</f>
        <v>0</v>
      </c>
      <c r="I218" s="430" t="str">
        <f>IF($AH$9="","",$D$9&amp;CHAR(10)&amp;"("&amp;$AH$9&amp;")")</f>
        <v/>
      </c>
      <c r="J218" s="431"/>
      <c r="K218" s="431"/>
      <c r="L218" s="431"/>
      <c r="M218" s="498"/>
      <c r="N218" s="498"/>
      <c r="O218" s="498"/>
      <c r="P218" s="498"/>
      <c r="Q218" s="498"/>
      <c r="R218" s="326"/>
      <c r="S218" s="326"/>
      <c r="T218" s="326"/>
      <c r="U218" s="326"/>
      <c r="V218" s="326"/>
      <c r="W218" s="365">
        <v>95</v>
      </c>
      <c r="X218" s="365"/>
      <c r="Y218" s="365"/>
      <c r="Z218" s="365">
        <v>5</v>
      </c>
      <c r="AA218" s="365"/>
      <c r="AB218" s="365"/>
      <c r="AC218" s="475">
        <f t="shared" ref="AC218" si="227">ABS(W218-Z218)</f>
        <v>90</v>
      </c>
      <c r="AD218" s="475"/>
      <c r="AE218" s="475"/>
      <c r="AF218" s="425" t="str">
        <f t="shared" ref="AF218" si="228">IF(I218="","","ton/년")</f>
        <v/>
      </c>
      <c r="AG218" s="425"/>
      <c r="AH218" s="428">
        <f t="shared" ref="AH218" si="229">AC218/W218</f>
        <v>0.94736842105263153</v>
      </c>
      <c r="AI218" s="428"/>
      <c r="AJ218" s="334"/>
      <c r="AK218" s="334"/>
      <c r="AL218" s="334"/>
      <c r="AM218" s="422"/>
      <c r="AN218" s="465"/>
      <c r="AS218" s="62"/>
      <c r="AT218" s="65"/>
      <c r="AU218" s="65"/>
      <c r="AV218" s="65"/>
      <c r="AW218" s="65"/>
      <c r="BF218" s="424">
        <f>IF($AH$9="",0,SUM($BF$167:BF217)+1)</f>
        <v>0</v>
      </c>
      <c r="BG218" s="415" t="str">
        <f t="shared" ref="BG218" si="230">$D$9</f>
        <v>수질오염 저감</v>
      </c>
      <c r="BH218" s="415"/>
      <c r="BI218" s="415"/>
      <c r="BJ218" s="415"/>
      <c r="BK218" s="415">
        <f>$AH$9</f>
        <v>0</v>
      </c>
      <c r="BL218" s="415"/>
      <c r="BM218" s="415"/>
      <c r="BN218" s="415"/>
      <c r="BO218" s="413">
        <f>W218</f>
        <v>95</v>
      </c>
      <c r="BP218" s="413">
        <f t="shared" ref="BP218" si="231">Z218</f>
        <v>5</v>
      </c>
      <c r="BQ218" s="413">
        <f t="shared" si="197"/>
        <v>90</v>
      </c>
      <c r="BR218" s="413" t="str">
        <f t="shared" si="151"/>
        <v/>
      </c>
      <c r="BS218" s="414">
        <f t="shared" si="198"/>
        <v>0.94736842105263153</v>
      </c>
      <c r="BT218" s="413">
        <f t="shared" ref="BT218" si="232">AJ218</f>
        <v>0</v>
      </c>
      <c r="BU218" s="413">
        <f t="shared" si="164"/>
        <v>0</v>
      </c>
      <c r="CC218" s="67"/>
      <c r="CF218" s="402"/>
      <c r="CH218" s="614"/>
      <c r="CI218" s="415"/>
      <c r="CJ218" s="415"/>
      <c r="CK218" s="415"/>
      <c r="CL218" s="415"/>
      <c r="CM218" s="415"/>
      <c r="CN218" s="415"/>
      <c r="CO218" s="415"/>
      <c r="CP218" s="615"/>
      <c r="CQ218" s="402"/>
      <c r="CR218" s="402"/>
    </row>
    <row r="219" spans="2:96" ht="17.100000000000001" customHeight="1" thickBot="1">
      <c r="B219" s="19"/>
      <c r="C219" s="19"/>
      <c r="D219" s="19"/>
      <c r="E219" s="19"/>
      <c r="F219" s="19"/>
      <c r="G219" s="19"/>
      <c r="H219" s="429"/>
      <c r="I219" s="341"/>
      <c r="J219" s="342"/>
      <c r="K219" s="342"/>
      <c r="L219" s="342"/>
      <c r="M219" s="432"/>
      <c r="N219" s="432"/>
      <c r="O219" s="432"/>
      <c r="P219" s="432"/>
      <c r="Q219" s="432"/>
      <c r="R219" s="432"/>
      <c r="S219" s="432"/>
      <c r="T219" s="432"/>
      <c r="U219" s="432"/>
      <c r="V219" s="432"/>
      <c r="W219" s="433"/>
      <c r="X219" s="433"/>
      <c r="Y219" s="433"/>
      <c r="Z219" s="433"/>
      <c r="AA219" s="433"/>
      <c r="AB219" s="433"/>
      <c r="AC219" s="426"/>
      <c r="AD219" s="426"/>
      <c r="AE219" s="426"/>
      <c r="AF219" s="426"/>
      <c r="AG219" s="426"/>
      <c r="AH219" s="420"/>
      <c r="AI219" s="420"/>
      <c r="AJ219" s="421"/>
      <c r="AK219" s="421"/>
      <c r="AL219" s="421"/>
      <c r="AM219" s="423"/>
      <c r="AN219" s="465"/>
      <c r="AS219" s="75"/>
      <c r="AT219" s="65"/>
      <c r="AU219" s="65"/>
      <c r="AV219" s="65"/>
      <c r="AW219" s="65"/>
      <c r="BF219" s="424"/>
      <c r="BG219" s="415"/>
      <c r="BH219" s="415"/>
      <c r="BI219" s="415"/>
      <c r="BJ219" s="415"/>
      <c r="BK219" s="415"/>
      <c r="BL219" s="415"/>
      <c r="BM219" s="415"/>
      <c r="BN219" s="415"/>
      <c r="BO219" s="413"/>
      <c r="BP219" s="413"/>
      <c r="BQ219" s="413"/>
      <c r="BR219" s="413"/>
      <c r="BS219" s="413"/>
      <c r="BT219" s="413"/>
      <c r="BU219" s="413"/>
      <c r="CC219" s="67"/>
      <c r="CF219" s="402">
        <f>SUM($CF$167:CF218)*2</f>
        <v>5481282474</v>
      </c>
      <c r="CH219" s="614">
        <f>IF($P$10="",0,SUM($CH$167:CH218)+1)</f>
        <v>0</v>
      </c>
      <c r="CI219" s="415" t="str">
        <f t="shared" ref="CI219" si="233">$D$10</f>
        <v>폐기물배출 저감</v>
      </c>
      <c r="CJ219" s="415"/>
      <c r="CK219" s="415"/>
      <c r="CL219" s="415"/>
      <c r="CM219" s="415">
        <f>$P$10</f>
        <v>0</v>
      </c>
      <c r="CN219" s="415"/>
      <c r="CO219" s="415"/>
      <c r="CP219" s="615"/>
      <c r="CQ219" s="402">
        <f t="shared" ref="CQ219" si="234">$W223</f>
        <v>12</v>
      </c>
      <c r="CR219" s="402">
        <f t="shared" ref="CR219" si="235">$Z223</f>
        <v>8</v>
      </c>
    </row>
    <row r="220" spans="2:96" ht="17.100000000000001" customHeight="1" thickBot="1">
      <c r="B220" s="19"/>
      <c r="C220" s="19"/>
      <c r="D220" s="19"/>
      <c r="E220" s="19"/>
      <c r="F220" s="19"/>
      <c r="G220" s="19"/>
      <c r="H220" s="170"/>
      <c r="I220" s="490" t="str">
        <f>IF(SUM(H210:H219)&gt;0,"합계","")</f>
        <v/>
      </c>
      <c r="J220" s="491"/>
      <c r="K220" s="491"/>
      <c r="L220" s="491"/>
      <c r="M220" s="491"/>
      <c r="N220" s="491"/>
      <c r="O220" s="491"/>
      <c r="P220" s="491"/>
      <c r="Q220" s="491"/>
      <c r="R220" s="491"/>
      <c r="S220" s="491"/>
      <c r="T220" s="491"/>
      <c r="U220" s="491"/>
      <c r="V220" s="492"/>
      <c r="W220" s="411">
        <f>SUMIF($AF$210:$AG$219,$AF$220,W210:Y219)</f>
        <v>0</v>
      </c>
      <c r="X220" s="443"/>
      <c r="Y220" s="444"/>
      <c r="Z220" s="411">
        <f t="shared" ref="Z220" si="236">SUMIF($AF$210:$AG$219,$AF$220,Z210:AB219)</f>
        <v>0</v>
      </c>
      <c r="AA220" s="443"/>
      <c r="AB220" s="444"/>
      <c r="AC220" s="411">
        <f t="shared" ref="AC220" si="237">SUMIF($AF$210:$AG$219,$AF$220,AC210:AE219)</f>
        <v>0</v>
      </c>
      <c r="AD220" s="443"/>
      <c r="AE220" s="444"/>
      <c r="AF220" s="411" t="s">
        <v>215</v>
      </c>
      <c r="AG220" s="444"/>
      <c r="AH220" s="598" t="e">
        <f>AC220/W220</f>
        <v>#DIV/0!</v>
      </c>
      <c r="AI220" s="599"/>
      <c r="AJ220" s="411"/>
      <c r="AK220" s="444"/>
      <c r="AL220" s="411"/>
      <c r="AM220" s="412"/>
      <c r="AN220" s="1"/>
      <c r="AS220" s="60"/>
      <c r="BF220" s="70">
        <f>IF(BK220="",0,SUM($BF$167:BF219)+1)</f>
        <v>0</v>
      </c>
      <c r="BG220" s="440" t="s">
        <v>244</v>
      </c>
      <c r="BH220" s="440"/>
      <c r="BI220" s="440"/>
      <c r="BJ220" s="440"/>
      <c r="BK220" s="440" t="str">
        <f>I220</f>
        <v/>
      </c>
      <c r="BL220" s="440"/>
      <c r="BM220" s="440"/>
      <c r="BN220" s="440"/>
      <c r="BO220" s="70">
        <f>W220</f>
        <v>0</v>
      </c>
      <c r="BP220" s="70">
        <f>Z220</f>
        <v>0</v>
      </c>
      <c r="BQ220" s="70">
        <f>ABS(BO220-BP220)</f>
        <v>0</v>
      </c>
      <c r="BR220" s="70" t="str">
        <f>AF220</f>
        <v>ton/년</v>
      </c>
      <c r="BS220" s="71" t="e">
        <f>AH220</f>
        <v>#DIV/0!</v>
      </c>
      <c r="BT220" s="72"/>
      <c r="BU220" s="72"/>
      <c r="CC220" s="67"/>
      <c r="CF220" s="402"/>
      <c r="CH220" s="614"/>
      <c r="CI220" s="415"/>
      <c r="CJ220" s="415"/>
      <c r="CK220" s="415"/>
      <c r="CL220" s="415"/>
      <c r="CM220" s="415"/>
      <c r="CN220" s="415"/>
      <c r="CO220" s="415"/>
      <c r="CP220" s="615"/>
      <c r="CQ220" s="402"/>
      <c r="CR220" s="402"/>
    </row>
    <row r="221" spans="2:96" ht="17.100000000000001" customHeight="1">
      <c r="B221" s="19"/>
      <c r="C221" s="19"/>
      <c r="D221" s="19"/>
      <c r="E221" s="19" t="s">
        <v>135</v>
      </c>
      <c r="F221" s="19"/>
      <c r="G221" s="19"/>
      <c r="H221" s="429">
        <f>IF($J$10="",0,SUM($H$167:H219)+1)</f>
        <v>16</v>
      </c>
      <c r="I221" s="337" t="str">
        <f>IF($J$10="","",$D$10&amp;CHAR(10)&amp;"("&amp;$J$10&amp;")")</f>
        <v>폐기물배출 저감
(발포라인 딥러닝 시스템)</v>
      </c>
      <c r="J221" s="338"/>
      <c r="K221" s="338"/>
      <c r="L221" s="338"/>
      <c r="M221" s="482" t="s">
        <v>700</v>
      </c>
      <c r="N221" s="482"/>
      <c r="O221" s="482"/>
      <c r="P221" s="482"/>
      <c r="Q221" s="482"/>
      <c r="R221" s="482" t="s">
        <v>699</v>
      </c>
      <c r="S221" s="482"/>
      <c r="T221" s="482"/>
      <c r="U221" s="482"/>
      <c r="V221" s="482"/>
      <c r="W221" s="365">
        <v>3.5</v>
      </c>
      <c r="X221" s="365"/>
      <c r="Y221" s="365"/>
      <c r="Z221" s="365">
        <v>0.7</v>
      </c>
      <c r="AA221" s="365"/>
      <c r="AB221" s="365"/>
      <c r="AC221" s="463">
        <f>ABS(W221-Z221)</f>
        <v>2.8</v>
      </c>
      <c r="AD221" s="463"/>
      <c r="AE221" s="463"/>
      <c r="AF221" s="463" t="str">
        <f>IF(I221="","","ton/년")</f>
        <v>ton/년</v>
      </c>
      <c r="AG221" s="463"/>
      <c r="AH221" s="478">
        <f>AC221/W221</f>
        <v>0.79999999999999993</v>
      </c>
      <c r="AI221" s="478"/>
      <c r="AJ221" s="484">
        <v>0.56000000000000005</v>
      </c>
      <c r="AK221" s="484"/>
      <c r="AL221" s="484">
        <v>4.5199999999999996</v>
      </c>
      <c r="AM221" s="604"/>
      <c r="AS221" s="75"/>
      <c r="AT221" s="65"/>
      <c r="AU221" s="65"/>
      <c r="AV221" s="65"/>
      <c r="AW221" s="65"/>
      <c r="BE221" t="s">
        <v>158</v>
      </c>
      <c r="BF221" s="424">
        <f>IF($J$10="",0,SUM($BF$167:BF220)+1)</f>
        <v>128</v>
      </c>
      <c r="BG221" s="415" t="str">
        <f>$D$10</f>
        <v>폐기물배출 저감</v>
      </c>
      <c r="BH221" s="415"/>
      <c r="BI221" s="415"/>
      <c r="BJ221" s="415"/>
      <c r="BK221" s="415" t="str">
        <f>$J$10</f>
        <v>발포라인 딥러닝 시스템</v>
      </c>
      <c r="BL221" s="415"/>
      <c r="BM221" s="415"/>
      <c r="BN221" s="415"/>
      <c r="BO221" s="413">
        <f>W221</f>
        <v>3.5</v>
      </c>
      <c r="BP221" s="413">
        <f>Z221</f>
        <v>0.7</v>
      </c>
      <c r="BQ221" s="413">
        <f t="shared" ref="BQ221:BQ229" si="238">BO221-BP221</f>
        <v>2.8</v>
      </c>
      <c r="BR221" s="413" t="str">
        <f t="shared" ref="BR221:BR240" si="239">AF221</f>
        <v>ton/년</v>
      </c>
      <c r="BS221" s="414">
        <f t="shared" si="198"/>
        <v>0.79999999999999993</v>
      </c>
      <c r="BT221" s="413">
        <f t="shared" ref="BT221" si="240">AJ221</f>
        <v>0.56000000000000005</v>
      </c>
      <c r="BU221" s="413">
        <f t="shared" ref="BU221:BU229" si="241">AL221</f>
        <v>4.5199999999999996</v>
      </c>
      <c r="CC221" s="67"/>
      <c r="CF221" s="402">
        <f>SUM($CF$167:CF220)*2</f>
        <v>16443847422</v>
      </c>
      <c r="CH221" s="614">
        <f>IF($V$10="",0,SUM($CH$167:CH220)+1)</f>
        <v>0</v>
      </c>
      <c r="CI221" s="415" t="str">
        <f t="shared" ref="CI221" si="242">$D$10</f>
        <v>폐기물배출 저감</v>
      </c>
      <c r="CJ221" s="415"/>
      <c r="CK221" s="415"/>
      <c r="CL221" s="415"/>
      <c r="CM221" s="415">
        <f>$V$10</f>
        <v>0</v>
      </c>
      <c r="CN221" s="415"/>
      <c r="CO221" s="415"/>
      <c r="CP221" s="615"/>
      <c r="CQ221" s="402">
        <f t="shared" ref="CQ221" si="243">$W225</f>
        <v>13</v>
      </c>
      <c r="CR221" s="402">
        <f t="shared" ref="CR221" si="244">$Z225</f>
        <v>7</v>
      </c>
    </row>
    <row r="222" spans="2:96" ht="17.100000000000001" customHeight="1">
      <c r="B222" s="19"/>
      <c r="C222" s="19"/>
      <c r="D222" s="19"/>
      <c r="E222" s="19"/>
      <c r="F222" s="19"/>
      <c r="G222" s="19"/>
      <c r="H222" s="429"/>
      <c r="I222" s="480"/>
      <c r="J222" s="481"/>
      <c r="K222" s="481"/>
      <c r="L222" s="481"/>
      <c r="M222" s="483"/>
      <c r="N222" s="483"/>
      <c r="O222" s="483"/>
      <c r="P222" s="483"/>
      <c r="Q222" s="483"/>
      <c r="R222" s="483"/>
      <c r="S222" s="483"/>
      <c r="T222" s="483"/>
      <c r="U222" s="483"/>
      <c r="V222" s="483"/>
      <c r="W222" s="433"/>
      <c r="X222" s="433"/>
      <c r="Y222" s="433"/>
      <c r="Z222" s="433"/>
      <c r="AA222" s="433"/>
      <c r="AB222" s="433"/>
      <c r="AC222" s="464"/>
      <c r="AD222" s="464"/>
      <c r="AE222" s="464"/>
      <c r="AF222" s="464"/>
      <c r="AG222" s="464"/>
      <c r="AH222" s="428"/>
      <c r="AI222" s="428"/>
      <c r="AJ222" s="334"/>
      <c r="AK222" s="334"/>
      <c r="AL222" s="334"/>
      <c r="AM222" s="422"/>
      <c r="AS222" s="75"/>
      <c r="AT222" s="65"/>
      <c r="AU222" s="65"/>
      <c r="AV222" s="65"/>
      <c r="AW222" s="65"/>
      <c r="BF222" s="424"/>
      <c r="BG222" s="415"/>
      <c r="BH222" s="415"/>
      <c r="BI222" s="415"/>
      <c r="BJ222" s="415"/>
      <c r="BK222" s="415"/>
      <c r="BL222" s="415"/>
      <c r="BM222" s="415"/>
      <c r="BN222" s="415"/>
      <c r="BO222" s="413"/>
      <c r="BP222" s="413"/>
      <c r="BQ222" s="413"/>
      <c r="BR222" s="413"/>
      <c r="BS222" s="413"/>
      <c r="BT222" s="413"/>
      <c r="BU222" s="413"/>
      <c r="CF222" s="402"/>
      <c r="CH222" s="614"/>
      <c r="CI222" s="415"/>
      <c r="CJ222" s="415"/>
      <c r="CK222" s="415"/>
      <c r="CL222" s="415"/>
      <c r="CM222" s="415"/>
      <c r="CN222" s="415"/>
      <c r="CO222" s="415"/>
      <c r="CP222" s="615"/>
      <c r="CQ222" s="402"/>
      <c r="CR222" s="402"/>
    </row>
    <row r="223" spans="2:96" ht="17.100000000000001" customHeight="1">
      <c r="B223" s="19"/>
      <c r="C223" s="19"/>
      <c r="D223" s="19"/>
      <c r="E223" s="19"/>
      <c r="F223" s="19"/>
      <c r="G223" s="19"/>
      <c r="H223" s="429">
        <f>IF($P$10="",0,SUM($H$167:H221)+1)</f>
        <v>0</v>
      </c>
      <c r="I223" s="339" t="str">
        <f>IF($P$10="","",$D$10&amp;CHAR(10)&amp;"("&amp;$P$10&amp;")")</f>
        <v/>
      </c>
      <c r="J223" s="340"/>
      <c r="K223" s="340"/>
      <c r="L223" s="340"/>
      <c r="M223" s="326"/>
      <c r="N223" s="326"/>
      <c r="O223" s="326"/>
      <c r="P223" s="326"/>
      <c r="Q223" s="326"/>
      <c r="R223" s="326"/>
      <c r="S223" s="326"/>
      <c r="T223" s="326"/>
      <c r="U223" s="326"/>
      <c r="V223" s="326"/>
      <c r="W223" s="334">
        <v>12</v>
      </c>
      <c r="X223" s="334"/>
      <c r="Y223" s="334"/>
      <c r="Z223" s="334">
        <v>8</v>
      </c>
      <c r="AA223" s="334"/>
      <c r="AB223" s="334"/>
      <c r="AC223" s="425">
        <f t="shared" ref="AC223" si="245">ABS(W223-Z223)</f>
        <v>4</v>
      </c>
      <c r="AD223" s="425"/>
      <c r="AE223" s="425"/>
      <c r="AF223" s="425" t="str">
        <f t="shared" ref="AF223" si="246">IF(I223="","","ton/년")</f>
        <v/>
      </c>
      <c r="AG223" s="425"/>
      <c r="AH223" s="428">
        <f t="shared" ref="AH223" si="247">AC223/W223</f>
        <v>0.33333333333333331</v>
      </c>
      <c r="AI223" s="428"/>
      <c r="AJ223" s="334"/>
      <c r="AK223" s="334"/>
      <c r="AL223" s="334"/>
      <c r="AM223" s="422"/>
      <c r="AS223" s="60"/>
      <c r="AT223" s="65"/>
      <c r="AU223" s="65"/>
      <c r="AV223" s="65"/>
      <c r="AW223" s="65"/>
      <c r="BF223" s="424">
        <f>IF($P$10="",0,SUM($BF$167:BF222)+1)</f>
        <v>0</v>
      </c>
      <c r="BG223" s="415" t="str">
        <f t="shared" ref="BG223" si="248">$D$10</f>
        <v>폐기물배출 저감</v>
      </c>
      <c r="BH223" s="415"/>
      <c r="BI223" s="415"/>
      <c r="BJ223" s="415"/>
      <c r="BK223" s="415">
        <f>$P$10</f>
        <v>0</v>
      </c>
      <c r="BL223" s="415"/>
      <c r="BM223" s="415"/>
      <c r="BN223" s="415"/>
      <c r="BO223" s="413">
        <f>W223</f>
        <v>12</v>
      </c>
      <c r="BP223" s="413">
        <f t="shared" ref="BP223" si="249">Z223</f>
        <v>8</v>
      </c>
      <c r="BQ223" s="413">
        <f t="shared" si="238"/>
        <v>4</v>
      </c>
      <c r="BR223" s="413" t="str">
        <f t="shared" si="239"/>
        <v/>
      </c>
      <c r="BS223" s="414">
        <f t="shared" si="198"/>
        <v>0.33333333333333331</v>
      </c>
      <c r="BT223" s="413">
        <f t="shared" ref="BT223" si="250">AJ223</f>
        <v>0</v>
      </c>
      <c r="BU223" s="413">
        <f t="shared" si="241"/>
        <v>0</v>
      </c>
      <c r="CF223" s="402">
        <f>SUM($CF$167:CF222)*2</f>
        <v>49331542266</v>
      </c>
      <c r="CH223" s="614">
        <f>IF($AB$10="",0,SUM($CH$167:CH222)+1)</f>
        <v>0</v>
      </c>
      <c r="CI223" s="415" t="str">
        <f t="shared" ref="CI223" si="251">$D$10</f>
        <v>폐기물배출 저감</v>
      </c>
      <c r="CJ223" s="415"/>
      <c r="CK223" s="415"/>
      <c r="CL223" s="415"/>
      <c r="CM223" s="415">
        <f>$AB$10</f>
        <v>0</v>
      </c>
      <c r="CN223" s="415"/>
      <c r="CO223" s="415"/>
      <c r="CP223" s="615"/>
      <c r="CQ223" s="402">
        <f t="shared" ref="CQ223" si="252">$W227</f>
        <v>14</v>
      </c>
      <c r="CR223" s="402">
        <f t="shared" ref="CR223" si="253">$Z227</f>
        <v>6</v>
      </c>
    </row>
    <row r="224" spans="2:96" ht="17.100000000000001" customHeight="1">
      <c r="B224" s="19"/>
      <c r="C224" s="19"/>
      <c r="D224" s="19"/>
      <c r="E224" s="19"/>
      <c r="F224" s="19"/>
      <c r="G224" s="19"/>
      <c r="H224" s="429"/>
      <c r="I224" s="339"/>
      <c r="J224" s="340"/>
      <c r="K224" s="340"/>
      <c r="L224" s="340"/>
      <c r="M224" s="326"/>
      <c r="N224" s="326"/>
      <c r="O224" s="326"/>
      <c r="P224" s="326"/>
      <c r="Q224" s="326"/>
      <c r="R224" s="326"/>
      <c r="S224" s="326"/>
      <c r="T224" s="326"/>
      <c r="U224" s="326"/>
      <c r="V224" s="326"/>
      <c r="W224" s="334"/>
      <c r="X224" s="334"/>
      <c r="Y224" s="334"/>
      <c r="Z224" s="334"/>
      <c r="AA224" s="334"/>
      <c r="AB224" s="334"/>
      <c r="AC224" s="425"/>
      <c r="AD224" s="425"/>
      <c r="AE224" s="425"/>
      <c r="AF224" s="425"/>
      <c r="AG224" s="425"/>
      <c r="AH224" s="428"/>
      <c r="AI224" s="428"/>
      <c r="AJ224" s="334"/>
      <c r="AK224" s="334"/>
      <c r="AL224" s="334"/>
      <c r="AM224" s="422"/>
      <c r="AS224" s="62"/>
      <c r="AT224" s="65"/>
      <c r="AU224" s="65"/>
      <c r="AV224" s="65"/>
      <c r="AW224" s="65"/>
      <c r="BF224" s="424"/>
      <c r="BG224" s="415"/>
      <c r="BH224" s="415"/>
      <c r="BI224" s="415"/>
      <c r="BJ224" s="415"/>
      <c r="BK224" s="415"/>
      <c r="BL224" s="415"/>
      <c r="BM224" s="415"/>
      <c r="BN224" s="415"/>
      <c r="BO224" s="413"/>
      <c r="BP224" s="413"/>
      <c r="BQ224" s="413"/>
      <c r="BR224" s="413"/>
      <c r="BS224" s="413"/>
      <c r="BT224" s="413"/>
      <c r="BU224" s="413"/>
      <c r="CF224" s="402"/>
      <c r="CH224" s="614"/>
      <c r="CI224" s="415"/>
      <c r="CJ224" s="415"/>
      <c r="CK224" s="415"/>
      <c r="CL224" s="415"/>
      <c r="CM224" s="415"/>
      <c r="CN224" s="415"/>
      <c r="CO224" s="415"/>
      <c r="CP224" s="615"/>
      <c r="CQ224" s="402"/>
      <c r="CR224" s="402"/>
    </row>
    <row r="225" spans="2:96" ht="17.100000000000001" customHeight="1">
      <c r="B225" s="19"/>
      <c r="C225" s="19"/>
      <c r="D225" s="19"/>
      <c r="E225" s="19"/>
      <c r="F225" s="19"/>
      <c r="G225" s="19"/>
      <c r="H225" s="429">
        <f>IF($V$10="",0,SUM($H$167:H223)+1)</f>
        <v>0</v>
      </c>
      <c r="I225" s="339" t="str">
        <f>IF($V$10="","",$D$10&amp;CHAR(10)&amp;"("&amp;$V$10&amp;")")</f>
        <v/>
      </c>
      <c r="J225" s="340"/>
      <c r="K225" s="340"/>
      <c r="L225" s="340"/>
      <c r="M225" s="326"/>
      <c r="N225" s="326"/>
      <c r="O225" s="326"/>
      <c r="P225" s="326"/>
      <c r="Q225" s="326"/>
      <c r="R225" s="326"/>
      <c r="S225" s="326"/>
      <c r="T225" s="326"/>
      <c r="U225" s="326"/>
      <c r="V225" s="326"/>
      <c r="W225" s="334">
        <v>13</v>
      </c>
      <c r="X225" s="334"/>
      <c r="Y225" s="334"/>
      <c r="Z225" s="334">
        <v>7</v>
      </c>
      <c r="AA225" s="334"/>
      <c r="AB225" s="334"/>
      <c r="AC225" s="425">
        <f t="shared" ref="AC225" si="254">ABS(W225-Z225)</f>
        <v>6</v>
      </c>
      <c r="AD225" s="425"/>
      <c r="AE225" s="425"/>
      <c r="AF225" s="425" t="str">
        <f t="shared" ref="AF225" si="255">IF(I225="","","ton/년")</f>
        <v/>
      </c>
      <c r="AG225" s="425"/>
      <c r="AH225" s="428">
        <f t="shared" ref="AH225" si="256">AC225/W225</f>
        <v>0.46153846153846156</v>
      </c>
      <c r="AI225" s="428"/>
      <c r="AJ225" s="334"/>
      <c r="AK225" s="334"/>
      <c r="AL225" s="334"/>
      <c r="AM225" s="422"/>
      <c r="AS225" s="76"/>
      <c r="AT225" s="65"/>
      <c r="AU225" s="65"/>
      <c r="AV225" s="65"/>
      <c r="AW225" s="65"/>
      <c r="BF225" s="424">
        <f>IF($V$10="",0,SUM($BF$167:BF224)+1)</f>
        <v>0</v>
      </c>
      <c r="BG225" s="415" t="str">
        <f t="shared" ref="BG225" si="257">$D$10</f>
        <v>폐기물배출 저감</v>
      </c>
      <c r="BH225" s="415"/>
      <c r="BI225" s="415"/>
      <c r="BJ225" s="415"/>
      <c r="BK225" s="415">
        <f>$V$10</f>
        <v>0</v>
      </c>
      <c r="BL225" s="415"/>
      <c r="BM225" s="415"/>
      <c r="BN225" s="415"/>
      <c r="BO225" s="413">
        <f>W225</f>
        <v>13</v>
      </c>
      <c r="BP225" s="413">
        <f t="shared" ref="BP225" si="258">Z225</f>
        <v>7</v>
      </c>
      <c r="BQ225" s="413">
        <f t="shared" si="238"/>
        <v>6</v>
      </c>
      <c r="BR225" s="413" t="str">
        <f t="shared" si="239"/>
        <v/>
      </c>
      <c r="BS225" s="414">
        <f t="shared" si="198"/>
        <v>0.46153846153846156</v>
      </c>
      <c r="BT225" s="413">
        <f t="shared" ref="BT225" si="259">AJ225</f>
        <v>0</v>
      </c>
      <c r="BU225" s="413">
        <f t="shared" si="241"/>
        <v>0</v>
      </c>
      <c r="CF225" s="402">
        <f>SUM($CF$167:CF224)*2</f>
        <v>147994626798</v>
      </c>
      <c r="CH225" s="614">
        <f>IF($AH$10="",0,SUM($CH$167:CH224)+1)</f>
        <v>0</v>
      </c>
      <c r="CI225" s="415" t="str">
        <f t="shared" ref="CI225" si="260">$D$10</f>
        <v>폐기물배출 저감</v>
      </c>
      <c r="CJ225" s="415"/>
      <c r="CK225" s="415"/>
      <c r="CL225" s="415"/>
      <c r="CM225" s="415">
        <f>$AH$10</f>
        <v>0</v>
      </c>
      <c r="CN225" s="415"/>
      <c r="CO225" s="415"/>
      <c r="CP225" s="615"/>
      <c r="CQ225" s="402">
        <f t="shared" ref="CQ225" si="261">$W229</f>
        <v>15</v>
      </c>
      <c r="CR225" s="402">
        <f t="shared" ref="CR225" si="262">$Z229</f>
        <v>5</v>
      </c>
    </row>
    <row r="226" spans="2:96" ht="17.100000000000001" customHeight="1" thickBot="1">
      <c r="B226" s="19"/>
      <c r="C226" s="19"/>
      <c r="D226" s="19"/>
      <c r="E226" s="19"/>
      <c r="F226" s="19"/>
      <c r="G226" s="19"/>
      <c r="H226" s="429"/>
      <c r="I226" s="339"/>
      <c r="J226" s="340"/>
      <c r="K226" s="340"/>
      <c r="L226" s="340"/>
      <c r="M226" s="326"/>
      <c r="N226" s="326"/>
      <c r="O226" s="326"/>
      <c r="P226" s="326"/>
      <c r="Q226" s="326"/>
      <c r="R226" s="326"/>
      <c r="S226" s="326"/>
      <c r="T226" s="326"/>
      <c r="U226" s="326"/>
      <c r="V226" s="326"/>
      <c r="W226" s="334"/>
      <c r="X226" s="334"/>
      <c r="Y226" s="334"/>
      <c r="Z226" s="334"/>
      <c r="AA226" s="334"/>
      <c r="AB226" s="334"/>
      <c r="AC226" s="425"/>
      <c r="AD226" s="425"/>
      <c r="AE226" s="425"/>
      <c r="AF226" s="425"/>
      <c r="AG226" s="425"/>
      <c r="AH226" s="428"/>
      <c r="AI226" s="428"/>
      <c r="AJ226" s="334"/>
      <c r="AK226" s="334"/>
      <c r="AL226" s="334"/>
      <c r="AM226" s="422"/>
      <c r="AS226" s="76"/>
      <c r="AT226" s="65"/>
      <c r="AU226" s="65"/>
      <c r="AV226" s="65"/>
      <c r="AW226" s="65"/>
      <c r="BF226" s="424"/>
      <c r="BG226" s="415"/>
      <c r="BH226" s="415"/>
      <c r="BI226" s="415"/>
      <c r="BJ226" s="415"/>
      <c r="BK226" s="415"/>
      <c r="BL226" s="415"/>
      <c r="BM226" s="415"/>
      <c r="BN226" s="415"/>
      <c r="BO226" s="413"/>
      <c r="BP226" s="413"/>
      <c r="BQ226" s="413"/>
      <c r="BR226" s="413"/>
      <c r="BS226" s="413"/>
      <c r="BT226" s="413"/>
      <c r="BU226" s="413"/>
      <c r="CF226" s="402"/>
      <c r="CH226" s="616"/>
      <c r="CI226" s="617"/>
      <c r="CJ226" s="617"/>
      <c r="CK226" s="617"/>
      <c r="CL226" s="617"/>
      <c r="CM226" s="617"/>
      <c r="CN226" s="617"/>
      <c r="CO226" s="617"/>
      <c r="CP226" s="618"/>
      <c r="CQ226" s="402"/>
      <c r="CR226" s="402"/>
    </row>
    <row r="227" spans="2:96" ht="17.100000000000001" customHeight="1">
      <c r="B227" s="19"/>
      <c r="C227" s="19"/>
      <c r="D227" s="19"/>
      <c r="E227" s="19"/>
      <c r="F227" s="19"/>
      <c r="G227" s="19"/>
      <c r="H227" s="429">
        <f>IF($AB$10="",0,SUM($H$167:H225)+1)</f>
        <v>0</v>
      </c>
      <c r="I227" s="339" t="str">
        <f>IF($AB$10="","",$D$10&amp;CHAR(10)&amp;"("&amp;$AB$10&amp;")")</f>
        <v/>
      </c>
      <c r="J227" s="340"/>
      <c r="K227" s="340"/>
      <c r="L227" s="340"/>
      <c r="M227" s="326"/>
      <c r="N227" s="326"/>
      <c r="O227" s="326"/>
      <c r="P227" s="326"/>
      <c r="Q227" s="326"/>
      <c r="R227" s="326"/>
      <c r="S227" s="326"/>
      <c r="T227" s="326"/>
      <c r="U227" s="326"/>
      <c r="V227" s="326"/>
      <c r="W227" s="334">
        <v>14</v>
      </c>
      <c r="X227" s="334"/>
      <c r="Y227" s="334"/>
      <c r="Z227" s="334">
        <v>6</v>
      </c>
      <c r="AA227" s="334"/>
      <c r="AB227" s="334"/>
      <c r="AC227" s="425">
        <f t="shared" ref="AC227" si="263">ABS(W227-Z227)</f>
        <v>8</v>
      </c>
      <c r="AD227" s="425"/>
      <c r="AE227" s="425"/>
      <c r="AF227" s="425" t="str">
        <f t="shared" ref="AF227" si="264">IF(I227="","","ton/년")</f>
        <v/>
      </c>
      <c r="AG227" s="425"/>
      <c r="AH227" s="428">
        <f t="shared" ref="AH227" si="265">AC227/W227</f>
        <v>0.5714285714285714</v>
      </c>
      <c r="AI227" s="428"/>
      <c r="AJ227" s="334"/>
      <c r="AK227" s="334"/>
      <c r="AL227" s="334"/>
      <c r="AM227" s="422"/>
      <c r="AS227" s="76"/>
      <c r="AT227" s="65"/>
      <c r="AU227" s="65"/>
      <c r="AV227" s="65"/>
      <c r="AW227" s="65"/>
      <c r="BF227" s="424">
        <f>IF($AB$10="",0,SUM($BF$167:BF226)+1)</f>
        <v>0</v>
      </c>
      <c r="BG227" s="415" t="str">
        <f t="shared" ref="BG227" si="266">$D$10</f>
        <v>폐기물배출 저감</v>
      </c>
      <c r="BH227" s="415"/>
      <c r="BI227" s="415"/>
      <c r="BJ227" s="415"/>
      <c r="BK227" s="415">
        <f>$AB$10</f>
        <v>0</v>
      </c>
      <c r="BL227" s="415"/>
      <c r="BM227" s="415"/>
      <c r="BN227" s="415"/>
      <c r="BO227" s="413">
        <f>W227</f>
        <v>14</v>
      </c>
      <c r="BP227" s="413">
        <f t="shared" ref="BP227" si="267">Z227</f>
        <v>6</v>
      </c>
      <c r="BQ227" s="413">
        <f t="shared" si="238"/>
        <v>8</v>
      </c>
      <c r="BR227" s="413" t="str">
        <f t="shared" si="239"/>
        <v/>
      </c>
      <c r="BS227" s="414">
        <f t="shared" si="198"/>
        <v>0.5714285714285714</v>
      </c>
      <c r="BT227" s="413">
        <f t="shared" ref="BT227" si="268">AJ227</f>
        <v>0</v>
      </c>
      <c r="BU227" s="413">
        <f t="shared" si="241"/>
        <v>0</v>
      </c>
      <c r="CF227" s="402">
        <f>SUM($CF$167:CF226)*2</f>
        <v>443983880394</v>
      </c>
      <c r="CG227" t="s">
        <v>161</v>
      </c>
      <c r="CH227" s="619">
        <f>IF($J$11="",0,SUM($CH$167:CH226)+1)</f>
        <v>32</v>
      </c>
      <c r="CI227" s="620" t="str">
        <f>$D$11</f>
        <v>자원순환</v>
      </c>
      <c r="CJ227" s="620"/>
      <c r="CK227" s="620"/>
      <c r="CL227" s="620"/>
      <c r="CM227" s="620" t="str">
        <f>$J$11</f>
        <v>빗물 재이용시설</v>
      </c>
      <c r="CN227" s="620"/>
      <c r="CO227" s="620"/>
      <c r="CP227" s="621"/>
      <c r="CQ227" s="402">
        <f>$W232</f>
        <v>0</v>
      </c>
      <c r="CR227" s="402">
        <f>$Z232</f>
        <v>257.39999999999998</v>
      </c>
    </row>
    <row r="228" spans="2:96" ht="17.100000000000001" customHeight="1">
      <c r="B228" s="19"/>
      <c r="C228" s="19"/>
      <c r="D228" s="19"/>
      <c r="E228" s="19"/>
      <c r="F228" s="19"/>
      <c r="G228" s="19"/>
      <c r="H228" s="429"/>
      <c r="I228" s="339"/>
      <c r="J228" s="340"/>
      <c r="K228" s="340"/>
      <c r="L228" s="340"/>
      <c r="M228" s="326"/>
      <c r="N228" s="326"/>
      <c r="O228" s="326"/>
      <c r="P228" s="326"/>
      <c r="Q228" s="326"/>
      <c r="R228" s="326"/>
      <c r="S228" s="326"/>
      <c r="T228" s="326"/>
      <c r="U228" s="326"/>
      <c r="V228" s="326"/>
      <c r="W228" s="334"/>
      <c r="X228" s="334"/>
      <c r="Y228" s="334"/>
      <c r="Z228" s="334"/>
      <c r="AA228" s="334"/>
      <c r="AB228" s="334"/>
      <c r="AC228" s="425"/>
      <c r="AD228" s="425"/>
      <c r="AE228" s="425"/>
      <c r="AF228" s="425"/>
      <c r="AG228" s="425"/>
      <c r="AH228" s="428"/>
      <c r="AI228" s="428"/>
      <c r="AJ228" s="334"/>
      <c r="AK228" s="334"/>
      <c r="AL228" s="334"/>
      <c r="AM228" s="422"/>
      <c r="AS228" s="60"/>
      <c r="AT228" s="65"/>
      <c r="AU228" s="65"/>
      <c r="AV228" s="65"/>
      <c r="AW228" s="65"/>
      <c r="BF228" s="424"/>
      <c r="BG228" s="415"/>
      <c r="BH228" s="415"/>
      <c r="BI228" s="415"/>
      <c r="BJ228" s="415"/>
      <c r="BK228" s="415"/>
      <c r="BL228" s="415"/>
      <c r="BM228" s="415"/>
      <c r="BN228" s="415"/>
      <c r="BO228" s="413"/>
      <c r="BP228" s="413"/>
      <c r="BQ228" s="413"/>
      <c r="BR228" s="413"/>
      <c r="BS228" s="413"/>
      <c r="BT228" s="413"/>
      <c r="BU228" s="413"/>
      <c r="CF228" s="402"/>
      <c r="CH228" s="614"/>
      <c r="CI228" s="415"/>
      <c r="CJ228" s="415"/>
      <c r="CK228" s="415"/>
      <c r="CL228" s="415"/>
      <c r="CM228" s="415"/>
      <c r="CN228" s="415"/>
      <c r="CO228" s="415"/>
      <c r="CP228" s="615"/>
      <c r="CQ228" s="402"/>
      <c r="CR228" s="402"/>
    </row>
    <row r="229" spans="2:96" ht="17.100000000000001" customHeight="1">
      <c r="B229" s="19"/>
      <c r="C229" s="19"/>
      <c r="D229" s="19"/>
      <c r="E229" s="19"/>
      <c r="F229" s="19"/>
      <c r="G229" s="19"/>
      <c r="H229" s="429">
        <f>IF($AH$10="",0,SUM($H$167:H227)+1)</f>
        <v>0</v>
      </c>
      <c r="I229" s="430" t="str">
        <f>IF($AH$10="","",$D$10&amp;CHAR(10)&amp;"("&amp;$AH$10&amp;")")</f>
        <v/>
      </c>
      <c r="J229" s="431"/>
      <c r="K229" s="431"/>
      <c r="L229" s="431"/>
      <c r="M229" s="498"/>
      <c r="N229" s="498"/>
      <c r="O229" s="498"/>
      <c r="P229" s="498"/>
      <c r="Q229" s="498"/>
      <c r="R229" s="498"/>
      <c r="S229" s="498"/>
      <c r="T229" s="498"/>
      <c r="U229" s="498"/>
      <c r="V229" s="498"/>
      <c r="W229" s="365">
        <v>15</v>
      </c>
      <c r="X229" s="365"/>
      <c r="Y229" s="365"/>
      <c r="Z229" s="365">
        <v>5</v>
      </c>
      <c r="AA229" s="365"/>
      <c r="AB229" s="365"/>
      <c r="AC229" s="475">
        <f t="shared" ref="AC229" si="269">ABS(W229-Z229)</f>
        <v>10</v>
      </c>
      <c r="AD229" s="475"/>
      <c r="AE229" s="475"/>
      <c r="AF229" s="475" t="str">
        <f t="shared" ref="AF229" si="270">IF(I229="","","ton/년")</f>
        <v/>
      </c>
      <c r="AG229" s="475"/>
      <c r="AH229" s="428">
        <f t="shared" ref="AH229" si="271">AC229/W229</f>
        <v>0.66666666666666663</v>
      </c>
      <c r="AI229" s="428"/>
      <c r="AJ229" s="334"/>
      <c r="AK229" s="334"/>
      <c r="AL229" s="334"/>
      <c r="AM229" s="422"/>
      <c r="AS229" s="75"/>
      <c r="AT229" s="65"/>
      <c r="AU229" s="65"/>
      <c r="AV229" s="65"/>
      <c r="AW229" s="65"/>
      <c r="BF229" s="424">
        <f>IF($AH$10="",0,SUM($BF$167:BF228)+1)</f>
        <v>0</v>
      </c>
      <c r="BG229" s="415" t="str">
        <f t="shared" ref="BG229" si="272">$D$10</f>
        <v>폐기물배출 저감</v>
      </c>
      <c r="BH229" s="415"/>
      <c r="BI229" s="415"/>
      <c r="BJ229" s="415"/>
      <c r="BK229" s="415">
        <f>$AH$10</f>
        <v>0</v>
      </c>
      <c r="BL229" s="415"/>
      <c r="BM229" s="415"/>
      <c r="BN229" s="415"/>
      <c r="BO229" s="413">
        <f>W229</f>
        <v>15</v>
      </c>
      <c r="BP229" s="413">
        <f t="shared" ref="BP229" si="273">Z229</f>
        <v>5</v>
      </c>
      <c r="BQ229" s="413">
        <f t="shared" si="238"/>
        <v>10</v>
      </c>
      <c r="BR229" s="413" t="str">
        <f t="shared" si="239"/>
        <v/>
      </c>
      <c r="BS229" s="414">
        <f t="shared" si="198"/>
        <v>0.66666666666666663</v>
      </c>
      <c r="BT229" s="413">
        <f t="shared" ref="BT229" si="274">AJ229</f>
        <v>0</v>
      </c>
      <c r="BU229" s="413">
        <f t="shared" si="241"/>
        <v>0</v>
      </c>
      <c r="CF229" s="402">
        <f>SUM($CF$167:CF228)*2</f>
        <v>1331951641182</v>
      </c>
      <c r="CH229" s="614">
        <f>IF($P$11="",0,SUM($CH$167:CH228)+1)</f>
        <v>0</v>
      </c>
      <c r="CI229" s="415" t="str">
        <f t="shared" ref="CI229" si="275">$D$11</f>
        <v>자원순환</v>
      </c>
      <c r="CJ229" s="415"/>
      <c r="CK229" s="415"/>
      <c r="CL229" s="415"/>
      <c r="CM229" s="415">
        <f>$P$11</f>
        <v>0</v>
      </c>
      <c r="CN229" s="415"/>
      <c r="CO229" s="415"/>
      <c r="CP229" s="615"/>
      <c r="CQ229" s="402">
        <f t="shared" ref="CQ229" si="276">$W234</f>
        <v>2</v>
      </c>
      <c r="CR229" s="402">
        <f t="shared" ref="CR229" si="277">$Z234</f>
        <v>98</v>
      </c>
    </row>
    <row r="230" spans="2:96" ht="17.100000000000001" customHeight="1" thickBot="1">
      <c r="B230" s="19"/>
      <c r="C230" s="19"/>
      <c r="D230" s="19"/>
      <c r="E230" s="19"/>
      <c r="F230" s="19"/>
      <c r="G230" s="19"/>
      <c r="H230" s="429"/>
      <c r="I230" s="341"/>
      <c r="J230" s="342"/>
      <c r="K230" s="342"/>
      <c r="L230" s="342"/>
      <c r="M230" s="432"/>
      <c r="N230" s="432"/>
      <c r="O230" s="432"/>
      <c r="P230" s="432"/>
      <c r="Q230" s="432"/>
      <c r="R230" s="432"/>
      <c r="S230" s="432"/>
      <c r="T230" s="432"/>
      <c r="U230" s="432"/>
      <c r="V230" s="432"/>
      <c r="W230" s="433"/>
      <c r="X230" s="433"/>
      <c r="Y230" s="433"/>
      <c r="Z230" s="433"/>
      <c r="AA230" s="433"/>
      <c r="AB230" s="433"/>
      <c r="AC230" s="426"/>
      <c r="AD230" s="426"/>
      <c r="AE230" s="426"/>
      <c r="AF230" s="426"/>
      <c r="AG230" s="426"/>
      <c r="AH230" s="420"/>
      <c r="AI230" s="420"/>
      <c r="AJ230" s="421"/>
      <c r="AK230" s="421"/>
      <c r="AL230" s="421"/>
      <c r="AM230" s="423"/>
      <c r="AS230" s="75"/>
      <c r="AT230" s="65"/>
      <c r="AU230" s="65"/>
      <c r="AV230" s="65"/>
      <c r="AW230" s="65"/>
      <c r="BF230" s="424"/>
      <c r="BG230" s="415"/>
      <c r="BH230" s="415"/>
      <c r="BI230" s="415"/>
      <c r="BJ230" s="415"/>
      <c r="BK230" s="415"/>
      <c r="BL230" s="415"/>
      <c r="BM230" s="415"/>
      <c r="BN230" s="415"/>
      <c r="BO230" s="413"/>
      <c r="BP230" s="413"/>
      <c r="BQ230" s="413"/>
      <c r="BR230" s="413"/>
      <c r="BS230" s="413"/>
      <c r="BT230" s="413"/>
      <c r="BU230" s="413"/>
      <c r="CF230" s="402"/>
      <c r="CH230" s="614"/>
      <c r="CI230" s="415"/>
      <c r="CJ230" s="415"/>
      <c r="CK230" s="415"/>
      <c r="CL230" s="415"/>
      <c r="CM230" s="415"/>
      <c r="CN230" s="415"/>
      <c r="CO230" s="415"/>
      <c r="CP230" s="615"/>
      <c r="CQ230" s="402"/>
      <c r="CR230" s="402"/>
    </row>
    <row r="231" spans="2:96" ht="17.100000000000001" customHeight="1" thickBot="1">
      <c r="B231" s="19"/>
      <c r="C231" s="19"/>
      <c r="D231" s="19"/>
      <c r="E231" s="19"/>
      <c r="F231" s="19"/>
      <c r="G231" s="19"/>
      <c r="H231" s="170"/>
      <c r="I231" s="490" t="str">
        <f>IF(SUM(H221:H230)&gt;0,"합계","")</f>
        <v>합계</v>
      </c>
      <c r="J231" s="491"/>
      <c r="K231" s="491"/>
      <c r="L231" s="491"/>
      <c r="M231" s="491"/>
      <c r="N231" s="491"/>
      <c r="O231" s="491"/>
      <c r="P231" s="491"/>
      <c r="Q231" s="491"/>
      <c r="R231" s="491"/>
      <c r="S231" s="491"/>
      <c r="T231" s="491"/>
      <c r="U231" s="491"/>
      <c r="V231" s="492"/>
      <c r="W231" s="411">
        <f>SUMIF($AF$221:$AG$230,$AF$231,W221:Y230)</f>
        <v>3.5</v>
      </c>
      <c r="X231" s="443"/>
      <c r="Y231" s="444"/>
      <c r="Z231" s="411">
        <f>SUMIF($AF$221:$AG$230,$AF$231,Z221:AB230)</f>
        <v>0.7</v>
      </c>
      <c r="AA231" s="443"/>
      <c r="AB231" s="444"/>
      <c r="AC231" s="411">
        <f t="shared" ref="AC231" si="278">SUMIF($AF$221:$AG$230,$AF$231,AC221:AE230)</f>
        <v>2.8</v>
      </c>
      <c r="AD231" s="443"/>
      <c r="AE231" s="444"/>
      <c r="AF231" s="411" t="s">
        <v>215</v>
      </c>
      <c r="AG231" s="444"/>
      <c r="AH231" s="598">
        <f>AC231/W231</f>
        <v>0.79999999999999993</v>
      </c>
      <c r="AI231" s="599"/>
      <c r="AJ231" s="411"/>
      <c r="AK231" s="444"/>
      <c r="AL231" s="411"/>
      <c r="AM231" s="412"/>
      <c r="AN231" s="1"/>
      <c r="AS231" s="60"/>
      <c r="BF231" s="70">
        <f>IF(BK231="",0,SUM($BF$167:BF230)+1)</f>
        <v>256</v>
      </c>
      <c r="BG231" s="440" t="s">
        <v>245</v>
      </c>
      <c r="BH231" s="440"/>
      <c r="BI231" s="440"/>
      <c r="BJ231" s="440"/>
      <c r="BK231" s="440" t="str">
        <f>I231</f>
        <v>합계</v>
      </c>
      <c r="BL231" s="440"/>
      <c r="BM231" s="440"/>
      <c r="BN231" s="440"/>
      <c r="BO231" s="70">
        <f>W231</f>
        <v>3.5</v>
      </c>
      <c r="BP231" s="70">
        <f>Z231</f>
        <v>0.7</v>
      </c>
      <c r="BQ231" s="70">
        <f>ABS(BO231-BP231)</f>
        <v>2.8</v>
      </c>
      <c r="BR231" s="70" t="str">
        <f>AF231</f>
        <v>ton/년</v>
      </c>
      <c r="BS231" s="71">
        <f>AH231</f>
        <v>0.79999999999999993</v>
      </c>
      <c r="BT231" s="72"/>
      <c r="BU231" s="72"/>
      <c r="CF231" s="402">
        <f>SUM($CF$167:CF230)*2</f>
        <v>3995854923546</v>
      </c>
      <c r="CH231" s="614">
        <f>IF($V$11="",0,SUM($CH$167:CH230)+1)</f>
        <v>0</v>
      </c>
      <c r="CI231" s="415" t="str">
        <f t="shared" ref="CI231" si="279">$D$11</f>
        <v>자원순환</v>
      </c>
      <c r="CJ231" s="415"/>
      <c r="CK231" s="415"/>
      <c r="CL231" s="415"/>
      <c r="CM231" s="415">
        <f>$V$11</f>
        <v>0</v>
      </c>
      <c r="CN231" s="415"/>
      <c r="CO231" s="415"/>
      <c r="CP231" s="615"/>
      <c r="CQ231" s="402">
        <f t="shared" ref="CQ231" si="280">$W236</f>
        <v>3</v>
      </c>
      <c r="CR231" s="402">
        <f t="shared" ref="CR231" si="281">$Z236</f>
        <v>97</v>
      </c>
    </row>
    <row r="232" spans="2:96" ht="17.100000000000001" customHeight="1">
      <c r="B232" s="19"/>
      <c r="C232" s="19"/>
      <c r="D232" s="19"/>
      <c r="E232" s="19" t="s">
        <v>136</v>
      </c>
      <c r="F232" s="19"/>
      <c r="G232" s="19"/>
      <c r="H232" s="429">
        <f>IF($J$11="",0,SUM($H$167:H230)+1)</f>
        <v>32</v>
      </c>
      <c r="I232" s="337" t="str">
        <f>IF($J$11="","",$D$11&amp;CHAR(10)&amp;"("&amp;$J$11&amp;")")</f>
        <v>자원순환
(빗물 재이용시설)</v>
      </c>
      <c r="J232" s="338"/>
      <c r="K232" s="338"/>
      <c r="L232" s="338"/>
      <c r="M232" s="482" t="s">
        <v>701</v>
      </c>
      <c r="N232" s="482"/>
      <c r="O232" s="482"/>
      <c r="P232" s="482"/>
      <c r="Q232" s="482"/>
      <c r="R232" s="482" t="s">
        <v>702</v>
      </c>
      <c r="S232" s="482"/>
      <c r="T232" s="482"/>
      <c r="U232" s="482"/>
      <c r="V232" s="482"/>
      <c r="W232" s="485">
        <v>0</v>
      </c>
      <c r="X232" s="484"/>
      <c r="Y232" s="484"/>
      <c r="Z232" s="484">
        <v>257.39999999999998</v>
      </c>
      <c r="AA232" s="484"/>
      <c r="AB232" s="484"/>
      <c r="AC232" s="463">
        <f>ABS(W232-Z232)</f>
        <v>257.39999999999998</v>
      </c>
      <c r="AD232" s="463"/>
      <c r="AE232" s="463"/>
      <c r="AF232" s="463" t="str">
        <f>IF(I232="","","ton/년")</f>
        <v>ton/년</v>
      </c>
      <c r="AG232" s="463"/>
      <c r="AH232" s="478">
        <f>IF(W232=0,1,AC232/W232)</f>
        <v>1</v>
      </c>
      <c r="AI232" s="478"/>
      <c r="AJ232" s="484">
        <v>0.19</v>
      </c>
      <c r="AK232" s="484"/>
      <c r="AL232" s="484">
        <v>1.54</v>
      </c>
      <c r="AM232" s="604"/>
      <c r="AS232" s="75"/>
      <c r="AT232" s="65"/>
      <c r="AU232" s="65"/>
      <c r="AV232" s="65"/>
      <c r="AW232" s="65"/>
      <c r="BE232" t="s">
        <v>161</v>
      </c>
      <c r="BF232" s="424">
        <f>IF($J$11="",0,SUM($BF$167:BF231)+1)</f>
        <v>512</v>
      </c>
      <c r="BG232" s="415" t="str">
        <f>$D$11</f>
        <v>자원순환</v>
      </c>
      <c r="BH232" s="415"/>
      <c r="BI232" s="415"/>
      <c r="BJ232" s="415"/>
      <c r="BK232" s="415" t="str">
        <f>$J$11</f>
        <v>빗물 재이용시설</v>
      </c>
      <c r="BL232" s="415"/>
      <c r="BM232" s="415"/>
      <c r="BN232" s="415"/>
      <c r="BO232" s="413">
        <f>W232</f>
        <v>0</v>
      </c>
      <c r="BP232" s="413">
        <f>Z232</f>
        <v>257.39999999999998</v>
      </c>
      <c r="BQ232" s="413">
        <f>ABS(BO232-BP232)</f>
        <v>257.39999999999998</v>
      </c>
      <c r="BR232" s="413" t="str">
        <f t="shared" si="239"/>
        <v>ton/년</v>
      </c>
      <c r="BS232" s="414">
        <f t="shared" ref="BS232:BS240" si="282">AH232</f>
        <v>1</v>
      </c>
      <c r="BT232" s="413">
        <f t="shared" ref="BT232" si="283">AJ232</f>
        <v>0.19</v>
      </c>
      <c r="BU232" s="413">
        <f t="shared" ref="BU232:BU240" si="284">AL232</f>
        <v>1.54</v>
      </c>
      <c r="CF232" s="402"/>
      <c r="CH232" s="614"/>
      <c r="CI232" s="415"/>
      <c r="CJ232" s="415"/>
      <c r="CK232" s="415"/>
      <c r="CL232" s="415"/>
      <c r="CM232" s="415"/>
      <c r="CN232" s="415"/>
      <c r="CO232" s="415"/>
      <c r="CP232" s="615"/>
      <c r="CQ232" s="402"/>
      <c r="CR232" s="402"/>
    </row>
    <row r="233" spans="2:96" ht="17.100000000000001" customHeight="1">
      <c r="B233" s="19"/>
      <c r="C233" s="19"/>
      <c r="D233" s="19"/>
      <c r="E233" s="19"/>
      <c r="F233" s="19"/>
      <c r="G233" s="19"/>
      <c r="H233" s="429"/>
      <c r="I233" s="480"/>
      <c r="J233" s="481"/>
      <c r="K233" s="481"/>
      <c r="L233" s="481"/>
      <c r="M233" s="326"/>
      <c r="N233" s="326"/>
      <c r="O233" s="326"/>
      <c r="P233" s="326"/>
      <c r="Q233" s="326"/>
      <c r="R233" s="483"/>
      <c r="S233" s="483"/>
      <c r="T233" s="483"/>
      <c r="U233" s="483"/>
      <c r="V233" s="483"/>
      <c r="W233" s="433"/>
      <c r="X233" s="433"/>
      <c r="Y233" s="433"/>
      <c r="Z233" s="433"/>
      <c r="AA233" s="433"/>
      <c r="AB233" s="433"/>
      <c r="AC233" s="464"/>
      <c r="AD233" s="464"/>
      <c r="AE233" s="464"/>
      <c r="AF233" s="464"/>
      <c r="AG233" s="464"/>
      <c r="AH233" s="479"/>
      <c r="AI233" s="479"/>
      <c r="AJ233" s="334"/>
      <c r="AK233" s="334"/>
      <c r="AL233" s="334"/>
      <c r="AM233" s="422"/>
      <c r="AS233" s="75"/>
      <c r="AT233" s="65"/>
      <c r="AU233" s="65"/>
      <c r="AV233" s="65"/>
      <c r="AW233" s="65"/>
      <c r="BF233" s="424"/>
      <c r="BG233" s="415"/>
      <c r="BH233" s="415"/>
      <c r="BI233" s="415"/>
      <c r="BJ233" s="415"/>
      <c r="BK233" s="415"/>
      <c r="BL233" s="415"/>
      <c r="BM233" s="415"/>
      <c r="BN233" s="415"/>
      <c r="BO233" s="413"/>
      <c r="BP233" s="413"/>
      <c r="BQ233" s="413"/>
      <c r="BR233" s="413"/>
      <c r="BS233" s="413"/>
      <c r="BT233" s="413"/>
      <c r="BU233" s="413"/>
      <c r="CF233" s="402">
        <f>SUM($CF$167:CF232)*2</f>
        <v>11987564770638</v>
      </c>
      <c r="CH233" s="614">
        <f>IF($AB$11="",0,SUM($CH$167:CH232)+1)</f>
        <v>0</v>
      </c>
      <c r="CI233" s="415" t="str">
        <f t="shared" ref="CI233" si="285">$D$11</f>
        <v>자원순환</v>
      </c>
      <c r="CJ233" s="415"/>
      <c r="CK233" s="415"/>
      <c r="CL233" s="415"/>
      <c r="CM233" s="415">
        <f>$AB$11</f>
        <v>0</v>
      </c>
      <c r="CN233" s="415"/>
      <c r="CO233" s="415"/>
      <c r="CP233" s="615"/>
      <c r="CQ233" s="402">
        <f t="shared" ref="CQ233" si="286">$W238</f>
        <v>4</v>
      </c>
      <c r="CR233" s="402">
        <f t="shared" ref="CR233" si="287">$Z238</f>
        <v>96</v>
      </c>
    </row>
    <row r="234" spans="2:96" ht="17.100000000000001" customHeight="1">
      <c r="B234" s="19"/>
      <c r="C234" s="19"/>
      <c r="D234" s="19"/>
      <c r="E234" s="19"/>
      <c r="F234" s="19"/>
      <c r="G234" s="19"/>
      <c r="H234" s="429">
        <f>IF($P$11="",0,SUM($H$167:H232)+1)</f>
        <v>0</v>
      </c>
      <c r="I234" s="339" t="str">
        <f>IF($P$11="","",$D$11&amp;CHAR(10)&amp;"("&amp;$P$11&amp;")")</f>
        <v/>
      </c>
      <c r="J234" s="340"/>
      <c r="K234" s="340"/>
      <c r="L234" s="340"/>
      <c r="M234" s="326"/>
      <c r="N234" s="326"/>
      <c r="O234" s="326"/>
      <c r="P234" s="326"/>
      <c r="Q234" s="326"/>
      <c r="R234" s="326"/>
      <c r="S234" s="326"/>
      <c r="T234" s="326"/>
      <c r="U234" s="326"/>
      <c r="V234" s="326"/>
      <c r="W234" s="366">
        <v>2</v>
      </c>
      <c r="X234" s="334"/>
      <c r="Y234" s="334"/>
      <c r="Z234" s="334">
        <v>98</v>
      </c>
      <c r="AA234" s="334"/>
      <c r="AB234" s="334"/>
      <c r="AC234" s="425">
        <f t="shared" ref="AC234" si="288">ABS(W234-Z234)</f>
        <v>96</v>
      </c>
      <c r="AD234" s="425"/>
      <c r="AE234" s="425"/>
      <c r="AF234" s="425" t="str">
        <f t="shared" ref="AF234" si="289">IF(I234="","","ton/년")</f>
        <v/>
      </c>
      <c r="AG234" s="425"/>
      <c r="AH234" s="428">
        <f t="shared" ref="AH234" si="290">IF(W234=0,1,AC234/W234)</f>
        <v>48</v>
      </c>
      <c r="AI234" s="428"/>
      <c r="AJ234" s="334"/>
      <c r="AK234" s="334"/>
      <c r="AL234" s="334"/>
      <c r="AM234" s="422"/>
      <c r="AS234" s="60"/>
      <c r="AT234" s="65"/>
      <c r="AU234" s="65"/>
      <c r="AV234" s="65"/>
      <c r="AW234" s="65"/>
      <c r="BF234" s="424">
        <f>IF($P$11="",0,SUM($BF$167:BF233)+1)</f>
        <v>0</v>
      </c>
      <c r="BG234" s="415" t="str">
        <f t="shared" ref="BG234" si="291">$D$11</f>
        <v>자원순환</v>
      </c>
      <c r="BH234" s="415"/>
      <c r="BI234" s="415"/>
      <c r="BJ234" s="415"/>
      <c r="BK234" s="415">
        <f>$P$11</f>
        <v>0</v>
      </c>
      <c r="BL234" s="415"/>
      <c r="BM234" s="415"/>
      <c r="BN234" s="415"/>
      <c r="BO234" s="413">
        <f>W234</f>
        <v>2</v>
      </c>
      <c r="BP234" s="413">
        <f t="shared" ref="BP234" si="292">Z234</f>
        <v>98</v>
      </c>
      <c r="BQ234" s="413">
        <f t="shared" ref="BQ234" si="293">ABS(BO234-BP234)</f>
        <v>96</v>
      </c>
      <c r="BR234" s="413" t="str">
        <f t="shared" si="239"/>
        <v/>
      </c>
      <c r="BS234" s="414">
        <f t="shared" si="282"/>
        <v>48</v>
      </c>
      <c r="BT234" s="413">
        <f t="shared" ref="BT234" si="294">AJ234</f>
        <v>0</v>
      </c>
      <c r="BU234" s="413">
        <f t="shared" si="284"/>
        <v>0</v>
      </c>
      <c r="CF234" s="402"/>
      <c r="CH234" s="614"/>
      <c r="CI234" s="415"/>
      <c r="CJ234" s="415"/>
      <c r="CK234" s="415"/>
      <c r="CL234" s="415"/>
      <c r="CM234" s="415"/>
      <c r="CN234" s="415"/>
      <c r="CO234" s="415"/>
      <c r="CP234" s="615"/>
      <c r="CQ234" s="402"/>
      <c r="CR234" s="402"/>
    </row>
    <row r="235" spans="2:96" ht="17.100000000000001" customHeight="1">
      <c r="B235" s="19"/>
      <c r="C235" s="19"/>
      <c r="D235" s="19"/>
      <c r="E235" s="19"/>
      <c r="F235" s="19"/>
      <c r="G235" s="19"/>
      <c r="H235" s="429"/>
      <c r="I235" s="339"/>
      <c r="J235" s="340"/>
      <c r="K235" s="340"/>
      <c r="L235" s="340"/>
      <c r="M235" s="326"/>
      <c r="N235" s="326"/>
      <c r="O235" s="326"/>
      <c r="P235" s="326"/>
      <c r="Q235" s="326"/>
      <c r="R235" s="326"/>
      <c r="S235" s="326"/>
      <c r="T235" s="326"/>
      <c r="U235" s="326"/>
      <c r="V235" s="326"/>
      <c r="W235" s="334"/>
      <c r="X235" s="334"/>
      <c r="Y235" s="334"/>
      <c r="Z235" s="334"/>
      <c r="AA235" s="334"/>
      <c r="AB235" s="334"/>
      <c r="AC235" s="425"/>
      <c r="AD235" s="425"/>
      <c r="AE235" s="425"/>
      <c r="AF235" s="425"/>
      <c r="AG235" s="425"/>
      <c r="AH235" s="428"/>
      <c r="AI235" s="428"/>
      <c r="AJ235" s="334"/>
      <c r="AK235" s="334"/>
      <c r="AL235" s="334"/>
      <c r="AM235" s="422"/>
      <c r="AS235" s="62"/>
      <c r="AT235" s="65"/>
      <c r="AU235" s="65"/>
      <c r="AV235" s="65"/>
      <c r="AW235" s="65"/>
      <c r="BF235" s="424"/>
      <c r="BG235" s="415"/>
      <c r="BH235" s="415"/>
      <c r="BI235" s="415"/>
      <c r="BJ235" s="415"/>
      <c r="BK235" s="415"/>
      <c r="BL235" s="415"/>
      <c r="BM235" s="415"/>
      <c r="BN235" s="415"/>
      <c r="BO235" s="413"/>
      <c r="BP235" s="413"/>
      <c r="BQ235" s="413"/>
      <c r="BR235" s="413"/>
      <c r="BS235" s="413"/>
      <c r="BT235" s="413"/>
      <c r="BU235" s="413"/>
      <c r="CF235" s="402">
        <f>SUM($CF$167:CF234)*2</f>
        <v>35962694311914</v>
      </c>
      <c r="CH235" s="614">
        <f>IF($AH$11="",0,SUM($CH$167:CH234)+1)</f>
        <v>0</v>
      </c>
      <c r="CI235" s="415" t="str">
        <f t="shared" ref="CI235" si="295">$D$11</f>
        <v>자원순환</v>
      </c>
      <c r="CJ235" s="415"/>
      <c r="CK235" s="415"/>
      <c r="CL235" s="415"/>
      <c r="CM235" s="415">
        <f>$AH$11</f>
        <v>0</v>
      </c>
      <c r="CN235" s="415"/>
      <c r="CO235" s="415"/>
      <c r="CP235" s="615"/>
      <c r="CQ235" s="402">
        <f t="shared" ref="CQ235" si="296">$W240</f>
        <v>5</v>
      </c>
      <c r="CR235" s="402">
        <f t="shared" ref="CR235" si="297">$Z240</f>
        <v>95</v>
      </c>
    </row>
    <row r="236" spans="2:96" ht="17.100000000000001" customHeight="1" thickBot="1">
      <c r="B236" s="19"/>
      <c r="C236" s="19"/>
      <c r="D236" s="19"/>
      <c r="E236" s="19"/>
      <c r="F236" s="19"/>
      <c r="G236" s="19"/>
      <c r="H236" s="429">
        <f>IF($V$11="",0,SUM($H$167:H234)+1)</f>
        <v>0</v>
      </c>
      <c r="I236" s="339" t="str">
        <f>IF($V$11="","",$D$11&amp;CHAR(10)&amp;"("&amp;$V$11&amp;")")</f>
        <v/>
      </c>
      <c r="J236" s="340"/>
      <c r="K236" s="340"/>
      <c r="L236" s="340"/>
      <c r="M236" s="326"/>
      <c r="N236" s="326"/>
      <c r="O236" s="326"/>
      <c r="P236" s="326"/>
      <c r="Q236" s="326"/>
      <c r="R236" s="326"/>
      <c r="S236" s="326"/>
      <c r="T236" s="326"/>
      <c r="U236" s="326"/>
      <c r="V236" s="326"/>
      <c r="W236" s="366">
        <v>3</v>
      </c>
      <c r="X236" s="334"/>
      <c r="Y236" s="334"/>
      <c r="Z236" s="334">
        <v>97</v>
      </c>
      <c r="AA236" s="334"/>
      <c r="AB236" s="334"/>
      <c r="AC236" s="425">
        <f t="shared" ref="AC236" si="298">ABS(W236-Z236)</f>
        <v>94</v>
      </c>
      <c r="AD236" s="425"/>
      <c r="AE236" s="425"/>
      <c r="AF236" s="425" t="str">
        <f t="shared" ref="AF236" si="299">IF(I236="","","ton/년")</f>
        <v/>
      </c>
      <c r="AG236" s="425"/>
      <c r="AH236" s="428">
        <f t="shared" ref="AH236" si="300">IF(W236=0,1,AC236/W236)</f>
        <v>31.333333333333332</v>
      </c>
      <c r="AI236" s="428"/>
      <c r="AJ236" s="334"/>
      <c r="AK236" s="334"/>
      <c r="AL236" s="334"/>
      <c r="AM236" s="422"/>
      <c r="AS236" s="76"/>
      <c r="AT236" s="65"/>
      <c r="AU236" s="65"/>
      <c r="AV236" s="65"/>
      <c r="AW236" s="65"/>
      <c r="BF236" s="424">
        <f>IF($V$11="",0,SUM($BF$167:BF235)+1)</f>
        <v>0</v>
      </c>
      <c r="BG236" s="415" t="str">
        <f t="shared" ref="BG236" si="301">$D$11</f>
        <v>자원순환</v>
      </c>
      <c r="BH236" s="415"/>
      <c r="BI236" s="415"/>
      <c r="BJ236" s="415"/>
      <c r="BK236" s="415">
        <f>$V$11</f>
        <v>0</v>
      </c>
      <c r="BL236" s="415"/>
      <c r="BM236" s="415"/>
      <c r="BN236" s="415"/>
      <c r="BO236" s="413">
        <f>W236</f>
        <v>3</v>
      </c>
      <c r="BP236" s="413">
        <f t="shared" ref="BP236" si="302">Z236</f>
        <v>97</v>
      </c>
      <c r="BQ236" s="413">
        <f t="shared" ref="BQ236" si="303">ABS(BO236-BP236)</f>
        <v>94</v>
      </c>
      <c r="BR236" s="413" t="str">
        <f t="shared" si="239"/>
        <v/>
      </c>
      <c r="BS236" s="414">
        <f t="shared" si="282"/>
        <v>31.333333333333332</v>
      </c>
      <c r="BT236" s="413">
        <f t="shared" ref="BT236" si="304">AJ236</f>
        <v>0</v>
      </c>
      <c r="BU236" s="413">
        <f t="shared" si="284"/>
        <v>0</v>
      </c>
      <c r="CF236" s="402"/>
      <c r="CH236" s="616"/>
      <c r="CI236" s="617"/>
      <c r="CJ236" s="617"/>
      <c r="CK236" s="617"/>
      <c r="CL236" s="617"/>
      <c r="CM236" s="617"/>
      <c r="CN236" s="617"/>
      <c r="CO236" s="617"/>
      <c r="CP236" s="618"/>
      <c r="CQ236" s="402"/>
      <c r="CR236" s="402"/>
    </row>
    <row r="237" spans="2:96" ht="17.100000000000001" customHeight="1">
      <c r="B237" s="19"/>
      <c r="C237" s="19"/>
      <c r="D237" s="19"/>
      <c r="E237" s="19"/>
      <c r="F237" s="19"/>
      <c r="G237" s="19"/>
      <c r="H237" s="429"/>
      <c r="I237" s="339"/>
      <c r="J237" s="340"/>
      <c r="K237" s="340"/>
      <c r="L237" s="340"/>
      <c r="M237" s="326"/>
      <c r="N237" s="326"/>
      <c r="O237" s="326"/>
      <c r="P237" s="326"/>
      <c r="Q237" s="326"/>
      <c r="R237" s="326"/>
      <c r="S237" s="326"/>
      <c r="T237" s="326"/>
      <c r="U237" s="326"/>
      <c r="V237" s="326"/>
      <c r="W237" s="334"/>
      <c r="X237" s="334"/>
      <c r="Y237" s="334"/>
      <c r="Z237" s="334"/>
      <c r="AA237" s="334"/>
      <c r="AB237" s="334"/>
      <c r="AC237" s="425"/>
      <c r="AD237" s="425"/>
      <c r="AE237" s="425"/>
      <c r="AF237" s="425"/>
      <c r="AG237" s="425"/>
      <c r="AH237" s="428"/>
      <c r="AI237" s="428"/>
      <c r="AJ237" s="334"/>
      <c r="AK237" s="334"/>
      <c r="AL237" s="334"/>
      <c r="AM237" s="422"/>
      <c r="AS237" s="76"/>
      <c r="AT237" s="65"/>
      <c r="AU237" s="65"/>
      <c r="AV237" s="65"/>
      <c r="AW237" s="65"/>
      <c r="BF237" s="424"/>
      <c r="BG237" s="415"/>
      <c r="BH237" s="415"/>
      <c r="BI237" s="415"/>
      <c r="BJ237" s="415"/>
      <c r="BK237" s="415"/>
      <c r="BL237" s="415"/>
      <c r="BM237" s="415"/>
      <c r="BN237" s="415"/>
      <c r="BO237" s="413"/>
      <c r="BP237" s="413"/>
      <c r="BQ237" s="413"/>
      <c r="BR237" s="413"/>
      <c r="BS237" s="413"/>
      <c r="BT237" s="413"/>
      <c r="BU237" s="413"/>
      <c r="CF237" s="402">
        <f>SUM($CF$167:CF236)*2</f>
        <v>107888082935742</v>
      </c>
      <c r="CG237" t="s">
        <v>200</v>
      </c>
      <c r="CH237" s="619">
        <f>IF($J$12="",0,SUM($CH$167:CH236)+1)</f>
        <v>0</v>
      </c>
      <c r="CI237" s="620" t="str">
        <f>$D$12</f>
        <v>환경보건</v>
      </c>
      <c r="CJ237" s="620"/>
      <c r="CK237" s="620"/>
      <c r="CL237" s="620"/>
      <c r="CM237" s="620">
        <f>$J$12</f>
        <v>0</v>
      </c>
      <c r="CN237" s="620"/>
      <c r="CO237" s="620"/>
      <c r="CP237" s="621"/>
      <c r="CQ237" s="613">
        <f>$W243</f>
        <v>0</v>
      </c>
      <c r="CR237" s="402">
        <f>$Z243</f>
        <v>1</v>
      </c>
    </row>
    <row r="238" spans="2:96" ht="17.100000000000001" customHeight="1">
      <c r="B238" s="19"/>
      <c r="C238" s="19"/>
      <c r="D238" s="19"/>
      <c r="E238" s="19"/>
      <c r="F238" s="19"/>
      <c r="G238" s="19"/>
      <c r="H238" s="429">
        <f>IF($AB$11="",0,SUM($H$167:H236)+1)</f>
        <v>0</v>
      </c>
      <c r="I238" s="339" t="str">
        <f>IF($AB$11="","",$D$11&amp;CHAR(10)&amp;"("&amp;$AB$11&amp;")")</f>
        <v/>
      </c>
      <c r="J238" s="340"/>
      <c r="K238" s="340"/>
      <c r="L238" s="340"/>
      <c r="M238" s="326"/>
      <c r="N238" s="326"/>
      <c r="O238" s="326"/>
      <c r="P238" s="326"/>
      <c r="Q238" s="326"/>
      <c r="R238" s="326"/>
      <c r="S238" s="326"/>
      <c r="T238" s="326"/>
      <c r="U238" s="326"/>
      <c r="V238" s="326"/>
      <c r="W238" s="366">
        <v>4</v>
      </c>
      <c r="X238" s="334"/>
      <c r="Y238" s="334"/>
      <c r="Z238" s="334">
        <v>96</v>
      </c>
      <c r="AA238" s="334"/>
      <c r="AB238" s="334"/>
      <c r="AC238" s="425">
        <f t="shared" ref="AC238" si="305">ABS(W238-Z238)</f>
        <v>92</v>
      </c>
      <c r="AD238" s="425"/>
      <c r="AE238" s="425"/>
      <c r="AF238" s="425" t="str">
        <f t="shared" ref="AF238" si="306">IF(I238="","","ton/년")</f>
        <v/>
      </c>
      <c r="AG238" s="425"/>
      <c r="AH238" s="428">
        <f t="shared" ref="AH238" si="307">IF(W238=0,1,AC238/W238)</f>
        <v>23</v>
      </c>
      <c r="AI238" s="428"/>
      <c r="AJ238" s="334"/>
      <c r="AK238" s="334"/>
      <c r="AL238" s="334"/>
      <c r="AM238" s="422"/>
      <c r="AS238" s="76"/>
      <c r="AT238" s="65"/>
      <c r="AU238" s="65"/>
      <c r="AV238" s="65"/>
      <c r="AW238" s="65"/>
      <c r="BF238" s="424">
        <f>IF($AB$11="",0,SUM($BF$167:BF237)+1)</f>
        <v>0</v>
      </c>
      <c r="BG238" s="415" t="str">
        <f t="shared" ref="BG238" si="308">$D$11</f>
        <v>자원순환</v>
      </c>
      <c r="BH238" s="415"/>
      <c r="BI238" s="415"/>
      <c r="BJ238" s="415"/>
      <c r="BK238" s="415">
        <f>$AB$11</f>
        <v>0</v>
      </c>
      <c r="BL238" s="415"/>
      <c r="BM238" s="415"/>
      <c r="BN238" s="415"/>
      <c r="BO238" s="413">
        <f>W238</f>
        <v>4</v>
      </c>
      <c r="BP238" s="413">
        <f t="shared" ref="BP238" si="309">Z238</f>
        <v>96</v>
      </c>
      <c r="BQ238" s="413">
        <f t="shared" ref="BQ238" si="310">ABS(BO238-BP238)</f>
        <v>92</v>
      </c>
      <c r="BR238" s="413" t="str">
        <f t="shared" si="239"/>
        <v/>
      </c>
      <c r="BS238" s="414">
        <f t="shared" si="282"/>
        <v>23</v>
      </c>
      <c r="BT238" s="413">
        <f t="shared" ref="BT238" si="311">AJ238</f>
        <v>0</v>
      </c>
      <c r="BU238" s="413">
        <f t="shared" si="284"/>
        <v>0</v>
      </c>
      <c r="CF238" s="402"/>
      <c r="CH238" s="614"/>
      <c r="CI238" s="415"/>
      <c r="CJ238" s="415"/>
      <c r="CK238" s="415"/>
      <c r="CL238" s="415"/>
      <c r="CM238" s="415"/>
      <c r="CN238" s="415"/>
      <c r="CO238" s="415"/>
      <c r="CP238" s="615"/>
      <c r="CQ238" s="613"/>
      <c r="CR238" s="402"/>
    </row>
    <row r="239" spans="2:96" ht="17.100000000000001" customHeight="1">
      <c r="B239" s="19"/>
      <c r="C239" s="19"/>
      <c r="D239" s="19"/>
      <c r="E239" s="19"/>
      <c r="F239" s="19"/>
      <c r="G239" s="19"/>
      <c r="H239" s="429"/>
      <c r="I239" s="339"/>
      <c r="J239" s="340"/>
      <c r="K239" s="340"/>
      <c r="L239" s="340"/>
      <c r="M239" s="326"/>
      <c r="N239" s="326"/>
      <c r="O239" s="326"/>
      <c r="P239" s="326"/>
      <c r="Q239" s="326"/>
      <c r="R239" s="326"/>
      <c r="S239" s="326"/>
      <c r="T239" s="326"/>
      <c r="U239" s="326"/>
      <c r="V239" s="326"/>
      <c r="W239" s="334"/>
      <c r="X239" s="334"/>
      <c r="Y239" s="334"/>
      <c r="Z239" s="334"/>
      <c r="AA239" s="334"/>
      <c r="AB239" s="334"/>
      <c r="AC239" s="425"/>
      <c r="AD239" s="425"/>
      <c r="AE239" s="425"/>
      <c r="AF239" s="425"/>
      <c r="AG239" s="425"/>
      <c r="AH239" s="428"/>
      <c r="AI239" s="428"/>
      <c r="AJ239" s="334"/>
      <c r="AK239" s="334"/>
      <c r="AL239" s="334"/>
      <c r="AM239" s="422"/>
      <c r="AS239" s="60"/>
      <c r="AT239" s="65"/>
      <c r="AU239" s="65"/>
      <c r="AV239" s="65"/>
      <c r="AW239" s="65"/>
      <c r="BF239" s="424"/>
      <c r="BG239" s="415"/>
      <c r="BH239" s="415"/>
      <c r="BI239" s="415"/>
      <c r="BJ239" s="415"/>
      <c r="BK239" s="415"/>
      <c r="BL239" s="415"/>
      <c r="BM239" s="415"/>
      <c r="BN239" s="415"/>
      <c r="BO239" s="413"/>
      <c r="BP239" s="413"/>
      <c r="BQ239" s="413"/>
      <c r="BR239" s="413"/>
      <c r="BS239" s="413"/>
      <c r="BT239" s="413"/>
      <c r="BU239" s="413"/>
      <c r="CF239" s="402">
        <f>SUM($CF$167:CF238)*2</f>
        <v>323664248807226</v>
      </c>
      <c r="CH239" s="614">
        <f>IF($P$12="",0,SUM($CH$167:CH238)+1)</f>
        <v>0</v>
      </c>
      <c r="CI239" s="415" t="str">
        <f t="shared" ref="CI239" si="312">$D$12</f>
        <v>환경보건</v>
      </c>
      <c r="CJ239" s="415"/>
      <c r="CK239" s="415"/>
      <c r="CL239" s="415"/>
      <c r="CM239" s="415">
        <f>$P$12</f>
        <v>0</v>
      </c>
      <c r="CN239" s="415"/>
      <c r="CO239" s="415"/>
      <c r="CP239" s="615"/>
      <c r="CQ239" s="613">
        <f t="shared" ref="CQ239" si="313">$W245</f>
        <v>0</v>
      </c>
      <c r="CR239" s="402">
        <f t="shared" ref="CR239" si="314">$Z245</f>
        <v>2</v>
      </c>
    </row>
    <row r="240" spans="2:96" ht="17.100000000000001" customHeight="1">
      <c r="B240" s="19"/>
      <c r="C240" s="19"/>
      <c r="D240" s="19"/>
      <c r="E240" s="19"/>
      <c r="F240" s="19"/>
      <c r="G240" s="19"/>
      <c r="H240" s="429">
        <f>IF($AH$11="",0,SUM($H$167:H238)+1)</f>
        <v>0</v>
      </c>
      <c r="I240" s="430" t="str">
        <f>IF($AH$11="","",$D$11&amp;CHAR(10)&amp;"("&amp;$AH$11&amp;")")</f>
        <v/>
      </c>
      <c r="J240" s="431"/>
      <c r="K240" s="431"/>
      <c r="L240" s="431"/>
      <c r="M240" s="326"/>
      <c r="N240" s="326"/>
      <c r="O240" s="326"/>
      <c r="P240" s="326"/>
      <c r="Q240" s="326"/>
      <c r="R240" s="498"/>
      <c r="S240" s="498"/>
      <c r="T240" s="498"/>
      <c r="U240" s="498"/>
      <c r="V240" s="498"/>
      <c r="W240" s="603">
        <v>5</v>
      </c>
      <c r="X240" s="365"/>
      <c r="Y240" s="365"/>
      <c r="Z240" s="365">
        <v>95</v>
      </c>
      <c r="AA240" s="365"/>
      <c r="AB240" s="365"/>
      <c r="AC240" s="475">
        <f t="shared" ref="AC240" si="315">ABS(W240-Z240)</f>
        <v>90</v>
      </c>
      <c r="AD240" s="475"/>
      <c r="AE240" s="475"/>
      <c r="AF240" s="475" t="str">
        <f t="shared" ref="AF240" si="316">IF(I240="","","ton/년")</f>
        <v/>
      </c>
      <c r="AG240" s="475"/>
      <c r="AH240" s="419">
        <f t="shared" ref="AH240" si="317">IF(W240=0,1,AC240/W240)</f>
        <v>18</v>
      </c>
      <c r="AI240" s="419"/>
      <c r="AJ240" s="334"/>
      <c r="AK240" s="334"/>
      <c r="AL240" s="334"/>
      <c r="AM240" s="422"/>
      <c r="AS240" s="75"/>
      <c r="AT240" s="65"/>
      <c r="AU240" s="65"/>
      <c r="AV240" s="65"/>
      <c r="AW240" s="65"/>
      <c r="BF240" s="424">
        <f>IF($AH$11="",0,SUM($BF$167:BF239)+1)</f>
        <v>0</v>
      </c>
      <c r="BG240" s="415" t="str">
        <f t="shared" ref="BG240" si="318">$D$11</f>
        <v>자원순환</v>
      </c>
      <c r="BH240" s="415"/>
      <c r="BI240" s="415"/>
      <c r="BJ240" s="415"/>
      <c r="BK240" s="415">
        <f>$AH$11</f>
        <v>0</v>
      </c>
      <c r="BL240" s="415"/>
      <c r="BM240" s="415"/>
      <c r="BN240" s="415"/>
      <c r="BO240" s="413">
        <f>W240</f>
        <v>5</v>
      </c>
      <c r="BP240" s="413">
        <f t="shared" ref="BP240" si="319">Z240</f>
        <v>95</v>
      </c>
      <c r="BQ240" s="413">
        <f t="shared" ref="BQ240" si="320">ABS(BO240-BP240)</f>
        <v>90</v>
      </c>
      <c r="BR240" s="413" t="str">
        <f t="shared" si="239"/>
        <v/>
      </c>
      <c r="BS240" s="414">
        <f t="shared" si="282"/>
        <v>18</v>
      </c>
      <c r="BT240" s="413">
        <f t="shared" ref="BT240" si="321">AJ240</f>
        <v>0</v>
      </c>
      <c r="BU240" s="413">
        <f t="shared" si="284"/>
        <v>0</v>
      </c>
      <c r="CF240" s="402"/>
      <c r="CH240" s="614"/>
      <c r="CI240" s="415"/>
      <c r="CJ240" s="415"/>
      <c r="CK240" s="415"/>
      <c r="CL240" s="415"/>
      <c r="CM240" s="415"/>
      <c r="CN240" s="415"/>
      <c r="CO240" s="415"/>
      <c r="CP240" s="615"/>
      <c r="CQ240" s="613"/>
      <c r="CR240" s="402"/>
    </row>
    <row r="241" spans="2:96" ht="17.100000000000001" customHeight="1" thickBot="1">
      <c r="B241" s="19"/>
      <c r="C241" s="19"/>
      <c r="D241" s="19"/>
      <c r="E241" s="19"/>
      <c r="F241" s="19"/>
      <c r="G241" s="19"/>
      <c r="H241" s="429"/>
      <c r="I241" s="341"/>
      <c r="J241" s="342"/>
      <c r="K241" s="342"/>
      <c r="L241" s="342"/>
      <c r="M241" s="432"/>
      <c r="N241" s="432"/>
      <c r="O241" s="432"/>
      <c r="P241" s="432"/>
      <c r="Q241" s="432"/>
      <c r="R241" s="432"/>
      <c r="S241" s="432"/>
      <c r="T241" s="432"/>
      <c r="U241" s="432"/>
      <c r="V241" s="432"/>
      <c r="W241" s="433"/>
      <c r="X241" s="433"/>
      <c r="Y241" s="433"/>
      <c r="Z241" s="433"/>
      <c r="AA241" s="433"/>
      <c r="AB241" s="433"/>
      <c r="AC241" s="426"/>
      <c r="AD241" s="426"/>
      <c r="AE241" s="426"/>
      <c r="AF241" s="426"/>
      <c r="AG241" s="426"/>
      <c r="AH241" s="420"/>
      <c r="AI241" s="420"/>
      <c r="AJ241" s="421"/>
      <c r="AK241" s="421"/>
      <c r="AL241" s="421"/>
      <c r="AM241" s="423"/>
      <c r="AS241" s="75"/>
      <c r="AT241" s="65"/>
      <c r="AU241" s="65"/>
      <c r="AV241" s="65"/>
      <c r="AW241" s="65"/>
      <c r="BF241" s="424"/>
      <c r="BG241" s="415"/>
      <c r="BH241" s="415"/>
      <c r="BI241" s="415"/>
      <c r="BJ241" s="415"/>
      <c r="BK241" s="415"/>
      <c r="BL241" s="415"/>
      <c r="BM241" s="415"/>
      <c r="BN241" s="415"/>
      <c r="BO241" s="413"/>
      <c r="BP241" s="413"/>
      <c r="BQ241" s="413"/>
      <c r="BR241" s="413"/>
      <c r="BS241" s="413"/>
      <c r="BT241" s="413"/>
      <c r="BU241" s="413"/>
      <c r="CF241" s="402">
        <f>SUM($CF$167:CF240)*2</f>
        <v>970992746421678</v>
      </c>
      <c r="CH241" s="614">
        <f>IF($V$12="",0,SUM($CH$167:CH240)+1)</f>
        <v>0</v>
      </c>
      <c r="CI241" s="415" t="str">
        <f t="shared" ref="CI241" si="322">$D$12</f>
        <v>환경보건</v>
      </c>
      <c r="CJ241" s="415"/>
      <c r="CK241" s="415"/>
      <c r="CL241" s="415"/>
      <c r="CM241" s="415">
        <f>$V$12</f>
        <v>0</v>
      </c>
      <c r="CN241" s="415"/>
      <c r="CO241" s="415"/>
      <c r="CP241" s="615"/>
      <c r="CQ241" s="613">
        <f t="shared" ref="CQ241" si="323">$W247</f>
        <v>0</v>
      </c>
      <c r="CR241" s="402">
        <f t="shared" ref="CR241" si="324">$Z247</f>
        <v>3</v>
      </c>
    </row>
    <row r="242" spans="2:96" ht="17.100000000000001" customHeight="1" thickBot="1">
      <c r="B242" s="19"/>
      <c r="C242" s="19"/>
      <c r="D242" s="19"/>
      <c r="E242" s="19"/>
      <c r="F242" s="19"/>
      <c r="G242" s="19"/>
      <c r="H242" s="170"/>
      <c r="I242" s="490" t="str">
        <f>IF(SUM(H232:H241)&gt;0,"합계","")</f>
        <v>합계</v>
      </c>
      <c r="J242" s="491"/>
      <c r="K242" s="491"/>
      <c r="L242" s="491"/>
      <c r="M242" s="491"/>
      <c r="N242" s="491"/>
      <c r="O242" s="491"/>
      <c r="P242" s="491"/>
      <c r="Q242" s="491"/>
      <c r="R242" s="491"/>
      <c r="S242" s="491"/>
      <c r="T242" s="491"/>
      <c r="U242" s="491"/>
      <c r="V242" s="492"/>
      <c r="W242" s="411">
        <f>SUMIF($AF$232:$AG$241,$AF$242,W232:Y241)</f>
        <v>0</v>
      </c>
      <c r="X242" s="443"/>
      <c r="Y242" s="444"/>
      <c r="Z242" s="411">
        <f>SUMIF($AF$232:$AG$241,$AF$242,Z232:AB241)</f>
        <v>257.39999999999998</v>
      </c>
      <c r="AA242" s="443"/>
      <c r="AB242" s="444"/>
      <c r="AC242" s="411">
        <f>SUMIF($AF$232:$AG$241,$AF$242,AC232:AE241)</f>
        <v>257.39999999999998</v>
      </c>
      <c r="AD242" s="443"/>
      <c r="AE242" s="444"/>
      <c r="AF242" s="409" t="s">
        <v>215</v>
      </c>
      <c r="AG242" s="410"/>
      <c r="AH242" s="598">
        <f>IF(W242=0,1,AC242/W242)</f>
        <v>1</v>
      </c>
      <c r="AI242" s="599"/>
      <c r="AJ242" s="411"/>
      <c r="AK242" s="444"/>
      <c r="AL242" s="411"/>
      <c r="AM242" s="412"/>
      <c r="AN242" s="1"/>
      <c r="AS242" s="60"/>
      <c r="BF242" s="70">
        <f>IF(BK242="",0,SUM($BF$167:BF241)+1)</f>
        <v>1024</v>
      </c>
      <c r="BG242" s="440" t="s">
        <v>246</v>
      </c>
      <c r="BH242" s="440"/>
      <c r="BI242" s="440"/>
      <c r="BJ242" s="440"/>
      <c r="BK242" s="440" t="str">
        <f>I242</f>
        <v>합계</v>
      </c>
      <c r="BL242" s="440"/>
      <c r="BM242" s="440"/>
      <c r="BN242" s="440"/>
      <c r="BO242" s="70">
        <f>W242</f>
        <v>0</v>
      </c>
      <c r="BP242" s="70">
        <f>Z242</f>
        <v>257.39999999999998</v>
      </c>
      <c r="BQ242" s="70">
        <f>ABS(BO242-BP242)</f>
        <v>257.39999999999998</v>
      </c>
      <c r="BR242" s="70" t="str">
        <f>AF242</f>
        <v>ton/년</v>
      </c>
      <c r="BS242" s="71">
        <f>AH242</f>
        <v>1</v>
      </c>
      <c r="BT242" s="72"/>
      <c r="BU242" s="72"/>
      <c r="CF242" s="402"/>
      <c r="CH242" s="614"/>
      <c r="CI242" s="415"/>
      <c r="CJ242" s="415"/>
      <c r="CK242" s="415"/>
      <c r="CL242" s="415"/>
      <c r="CM242" s="415"/>
      <c r="CN242" s="415"/>
      <c r="CO242" s="415"/>
      <c r="CP242" s="615"/>
      <c r="CQ242" s="613"/>
      <c r="CR242" s="402"/>
    </row>
    <row r="243" spans="2:96" ht="17.100000000000001" customHeight="1">
      <c r="B243" s="19"/>
      <c r="C243" s="19"/>
      <c r="D243" s="19"/>
      <c r="E243" s="19" t="s">
        <v>87</v>
      </c>
      <c r="F243" s="19"/>
      <c r="G243" s="19"/>
      <c r="H243" s="429">
        <f>IF($J$12="",0,SUM($H$167:H241)+1)</f>
        <v>0</v>
      </c>
      <c r="I243" s="337" t="str">
        <f>$D$12&amp;CHAR(10)&amp;"("&amp;$J$12&amp;")"</f>
        <v>환경보건
()</v>
      </c>
      <c r="J243" s="338"/>
      <c r="K243" s="338"/>
      <c r="L243" s="338"/>
      <c r="M243" s="482" t="s">
        <v>676</v>
      </c>
      <c r="N243" s="482"/>
      <c r="O243" s="482"/>
      <c r="P243" s="482"/>
      <c r="Q243" s="482"/>
      <c r="R243" s="482" t="s">
        <v>675</v>
      </c>
      <c r="S243" s="482"/>
      <c r="T243" s="482"/>
      <c r="U243" s="482"/>
      <c r="V243" s="482"/>
      <c r="W243" s="434">
        <v>0</v>
      </c>
      <c r="X243" s="435"/>
      <c r="Y243" s="436"/>
      <c r="Z243" s="434">
        <v>1</v>
      </c>
      <c r="AA243" s="435"/>
      <c r="AB243" s="436"/>
      <c r="AC243" s="463">
        <f>ABS(W243-Z243)</f>
        <v>1</v>
      </c>
      <c r="AD243" s="463"/>
      <c r="AE243" s="198"/>
      <c r="AF243" s="624"/>
      <c r="AG243" s="625"/>
      <c r="AH243" s="184">
        <f>IF(W243=0,1,AC243/W243)</f>
        <v>1</v>
      </c>
      <c r="AI243" s="478"/>
      <c r="AJ243" s="484"/>
      <c r="AK243" s="484"/>
      <c r="AL243" s="484"/>
      <c r="AM243" s="604"/>
      <c r="AS243" s="75"/>
      <c r="AT243" s="65"/>
      <c r="AU243" s="65"/>
      <c r="AV243" s="65"/>
      <c r="AW243" s="65"/>
      <c r="BE243" t="s">
        <v>162</v>
      </c>
      <c r="BF243" s="424">
        <f>IF($J$12="",0,SUM($BF$167:BF242)+1)</f>
        <v>0</v>
      </c>
      <c r="BG243" s="415" t="str">
        <f>$D$12</f>
        <v>환경보건</v>
      </c>
      <c r="BH243" s="415"/>
      <c r="BI243" s="415"/>
      <c r="BJ243" s="415"/>
      <c r="BK243" s="415">
        <f>$J$12</f>
        <v>0</v>
      </c>
      <c r="BL243" s="415"/>
      <c r="BM243" s="415"/>
      <c r="BN243" s="415"/>
      <c r="BO243" s="413">
        <f>W243</f>
        <v>0</v>
      </c>
      <c r="BP243" s="413">
        <f>Z243</f>
        <v>1</v>
      </c>
      <c r="BQ243" s="413">
        <f t="shared" ref="BQ243:BQ251" si="325">ABS(BO243-BP243)</f>
        <v>1</v>
      </c>
      <c r="BR243" s="413" t="str">
        <f>IF(AF243="","",AF243)</f>
        <v/>
      </c>
      <c r="BS243" s="414">
        <f t="shared" ref="BS243:BS251" si="326">AH243</f>
        <v>1</v>
      </c>
      <c r="BT243" s="413">
        <f t="shared" ref="BT243" si="327">AJ243</f>
        <v>0</v>
      </c>
      <c r="BU243" s="413">
        <f t="shared" ref="BU243:BU251" si="328">AL243</f>
        <v>0</v>
      </c>
      <c r="CF243" s="402">
        <f>SUM($CF$167:CF242)*2</f>
        <v>2912978239265034</v>
      </c>
      <c r="CH243" s="614">
        <f>IF($AB$12="",0,SUM($CH$167:CH242)+1)</f>
        <v>0</v>
      </c>
      <c r="CI243" s="415" t="str">
        <f t="shared" ref="CI243" si="329">$D$12</f>
        <v>환경보건</v>
      </c>
      <c r="CJ243" s="415"/>
      <c r="CK243" s="415"/>
      <c r="CL243" s="415"/>
      <c r="CM243" s="415">
        <f>$AB$12</f>
        <v>0</v>
      </c>
      <c r="CN243" s="415"/>
      <c r="CO243" s="415"/>
      <c r="CP243" s="615"/>
      <c r="CQ243" s="613">
        <f t="shared" ref="CQ243" si="330">$W249</f>
        <v>0</v>
      </c>
      <c r="CR243" s="402">
        <f t="shared" ref="CR243" si="331">$Z249</f>
        <v>4</v>
      </c>
    </row>
    <row r="244" spans="2:96" ht="17.100000000000001" customHeight="1">
      <c r="B244" s="19"/>
      <c r="C244" s="19"/>
      <c r="D244" s="19"/>
      <c r="E244" s="19"/>
      <c r="F244" s="19"/>
      <c r="G244" s="19"/>
      <c r="H244" s="429"/>
      <c r="I244" s="480"/>
      <c r="J244" s="481"/>
      <c r="K244" s="481"/>
      <c r="L244" s="481"/>
      <c r="M244" s="483"/>
      <c r="N244" s="483"/>
      <c r="O244" s="483"/>
      <c r="P244" s="483"/>
      <c r="Q244" s="483"/>
      <c r="R244" s="483"/>
      <c r="S244" s="483"/>
      <c r="T244" s="483"/>
      <c r="U244" s="483"/>
      <c r="V244" s="483"/>
      <c r="W244" s="437"/>
      <c r="X244" s="438"/>
      <c r="Y244" s="439"/>
      <c r="Z244" s="437"/>
      <c r="AA244" s="438"/>
      <c r="AB244" s="439"/>
      <c r="AC244" s="464"/>
      <c r="AD244" s="464"/>
      <c r="AE244" s="477"/>
      <c r="AF244" s="626"/>
      <c r="AG244" s="627"/>
      <c r="AH244" s="186"/>
      <c r="AI244" s="428"/>
      <c r="AJ244" s="433"/>
      <c r="AK244" s="433"/>
      <c r="AL244" s="433"/>
      <c r="AM244" s="597"/>
      <c r="AS244" s="75"/>
      <c r="AT244" s="65"/>
      <c r="AU244" s="65"/>
      <c r="AV244" s="65"/>
      <c r="AW244" s="65"/>
      <c r="BF244" s="424"/>
      <c r="BG244" s="415"/>
      <c r="BH244" s="415"/>
      <c r="BI244" s="415"/>
      <c r="BJ244" s="415"/>
      <c r="BK244" s="415"/>
      <c r="BL244" s="415"/>
      <c r="BM244" s="415"/>
      <c r="BN244" s="415"/>
      <c r="BO244" s="413"/>
      <c r="BP244" s="413"/>
      <c r="BQ244" s="413"/>
      <c r="BR244" s="413"/>
      <c r="BS244" s="413"/>
      <c r="BT244" s="413"/>
      <c r="BU244" s="413"/>
      <c r="CF244" s="402"/>
      <c r="CH244" s="614"/>
      <c r="CI244" s="415"/>
      <c r="CJ244" s="415"/>
      <c r="CK244" s="415"/>
      <c r="CL244" s="415"/>
      <c r="CM244" s="415"/>
      <c r="CN244" s="415"/>
      <c r="CO244" s="415"/>
      <c r="CP244" s="615"/>
      <c r="CQ244" s="613"/>
      <c r="CR244" s="402"/>
    </row>
    <row r="245" spans="2:96" ht="17.100000000000001" customHeight="1">
      <c r="B245" s="19"/>
      <c r="C245" s="19"/>
      <c r="D245" s="19"/>
      <c r="E245" s="19"/>
      <c r="F245" s="19"/>
      <c r="G245" s="19"/>
      <c r="H245" s="429">
        <f>IF($P$12="",0,SUM($H$167:H243)+1)</f>
        <v>0</v>
      </c>
      <c r="I245" s="339" t="str">
        <f>$D$12&amp;CHAR(10)&amp;"("&amp;$P$12&amp;")"</f>
        <v>환경보건
()</v>
      </c>
      <c r="J245" s="340"/>
      <c r="K245" s="340"/>
      <c r="L245" s="340"/>
      <c r="M245" s="326"/>
      <c r="N245" s="326"/>
      <c r="O245" s="326"/>
      <c r="P245" s="326"/>
      <c r="Q245" s="326"/>
      <c r="R245" s="326"/>
      <c r="S245" s="326"/>
      <c r="T245" s="326"/>
      <c r="U245" s="326"/>
      <c r="V245" s="326"/>
      <c r="W245" s="334">
        <v>0</v>
      </c>
      <c r="X245" s="334"/>
      <c r="Y245" s="334"/>
      <c r="Z245" s="334">
        <v>2</v>
      </c>
      <c r="AA245" s="334"/>
      <c r="AB245" s="334"/>
      <c r="AC245" s="425">
        <f t="shared" ref="AC245" si="332">ABS(W245-Z245)</f>
        <v>2</v>
      </c>
      <c r="AD245" s="425"/>
      <c r="AE245" s="192"/>
      <c r="AF245" s="626"/>
      <c r="AG245" s="627"/>
      <c r="AH245" s="186">
        <f t="shared" ref="AH245" si="333">IF(W245=0,1,AC245/W245)</f>
        <v>1</v>
      </c>
      <c r="AI245" s="428"/>
      <c r="AJ245" s="334"/>
      <c r="AK245" s="334"/>
      <c r="AL245" s="334"/>
      <c r="AM245" s="422"/>
      <c r="AS245" s="75"/>
      <c r="AT245" s="65"/>
      <c r="AU245" s="65"/>
      <c r="AV245" s="65"/>
      <c r="AW245" s="65"/>
      <c r="BF245" s="424">
        <f>IF($P$12="",0,SUM($BF$167:BF244)+1)</f>
        <v>0</v>
      </c>
      <c r="BG245" s="415" t="str">
        <f t="shared" ref="BG245" si="334">$D$12</f>
        <v>환경보건</v>
      </c>
      <c r="BH245" s="415"/>
      <c r="BI245" s="415"/>
      <c r="BJ245" s="415"/>
      <c r="BK245" s="415">
        <f>$P$12</f>
        <v>0</v>
      </c>
      <c r="BL245" s="415"/>
      <c r="BM245" s="415"/>
      <c r="BN245" s="415"/>
      <c r="BO245" s="413">
        <f t="shared" ref="BO245" si="335">W245</f>
        <v>0</v>
      </c>
      <c r="BP245" s="413">
        <f t="shared" ref="BP245" si="336">Z245</f>
        <v>2</v>
      </c>
      <c r="BQ245" s="413">
        <f t="shared" ref="BQ245" si="337">ABS(BO245-BP245)</f>
        <v>2</v>
      </c>
      <c r="BR245" s="413" t="str">
        <f t="shared" ref="BR245" si="338">IF(AF245="","",AF245)</f>
        <v/>
      </c>
      <c r="BS245" s="414">
        <f t="shared" ref="BS245" si="339">AH245</f>
        <v>1</v>
      </c>
      <c r="BT245" s="413">
        <f t="shared" ref="BT245" si="340">AJ245</f>
        <v>0</v>
      </c>
      <c r="BU245" s="413">
        <f t="shared" ref="BU245" si="341">AL245</f>
        <v>0</v>
      </c>
      <c r="CF245" s="1"/>
      <c r="CH245" s="614">
        <f>IF($AH$12="",0,SUM($CH$167:CH244)+1)</f>
        <v>0</v>
      </c>
      <c r="CI245" s="676" t="str">
        <f t="shared" ref="CI245" si="342">$D$12</f>
        <v>환경보건</v>
      </c>
      <c r="CJ245" s="677"/>
      <c r="CK245" s="677"/>
      <c r="CL245" s="678"/>
      <c r="CM245" s="415">
        <f>$AH$12</f>
        <v>0</v>
      </c>
      <c r="CN245" s="415"/>
      <c r="CO245" s="415"/>
      <c r="CP245" s="615"/>
      <c r="CQ245" s="613">
        <f t="shared" ref="CQ245" si="343">$W251</f>
        <v>0</v>
      </c>
      <c r="CR245" s="402">
        <f t="shared" ref="CR245" si="344">$Z251</f>
        <v>5</v>
      </c>
    </row>
    <row r="246" spans="2:96" ht="17.100000000000001" customHeight="1" thickBot="1">
      <c r="B246" s="19"/>
      <c r="C246" s="19"/>
      <c r="D246" s="19"/>
      <c r="E246" s="19"/>
      <c r="F246" s="19"/>
      <c r="G246" s="19"/>
      <c r="H246" s="429"/>
      <c r="I246" s="339"/>
      <c r="J246" s="340"/>
      <c r="K246" s="340"/>
      <c r="L246" s="340"/>
      <c r="M246" s="326"/>
      <c r="N246" s="326"/>
      <c r="O246" s="326"/>
      <c r="P246" s="326"/>
      <c r="Q246" s="326"/>
      <c r="R246" s="326"/>
      <c r="S246" s="326"/>
      <c r="T246" s="326"/>
      <c r="U246" s="326"/>
      <c r="V246" s="326"/>
      <c r="W246" s="334"/>
      <c r="X246" s="334"/>
      <c r="Y246" s="334"/>
      <c r="Z246" s="334"/>
      <c r="AA246" s="334"/>
      <c r="AB246" s="334"/>
      <c r="AC246" s="425"/>
      <c r="AD246" s="425"/>
      <c r="AE246" s="192"/>
      <c r="AF246" s="626"/>
      <c r="AG246" s="627"/>
      <c r="AH246" s="186"/>
      <c r="AI246" s="428"/>
      <c r="AJ246" s="334"/>
      <c r="AK246" s="334"/>
      <c r="AL246" s="334"/>
      <c r="AM246" s="422"/>
      <c r="AS246" s="75"/>
      <c r="AT246" s="65"/>
      <c r="AU246" s="65"/>
      <c r="AV246" s="65"/>
      <c r="AW246" s="65"/>
      <c r="BF246" s="424"/>
      <c r="BG246" s="415"/>
      <c r="BH246" s="415"/>
      <c r="BI246" s="415"/>
      <c r="BJ246" s="415"/>
      <c r="BK246" s="415"/>
      <c r="BL246" s="415"/>
      <c r="BM246" s="415"/>
      <c r="BN246" s="415"/>
      <c r="BO246" s="413"/>
      <c r="BP246" s="413"/>
      <c r="BQ246" s="413"/>
      <c r="BR246" s="413"/>
      <c r="BS246" s="413"/>
      <c r="BT246" s="413"/>
      <c r="BU246" s="413"/>
      <c r="CF246" s="1"/>
      <c r="CH246" s="616"/>
      <c r="CI246" s="679"/>
      <c r="CJ246" s="680"/>
      <c r="CK246" s="680"/>
      <c r="CL246" s="681"/>
      <c r="CM246" s="617"/>
      <c r="CN246" s="617"/>
      <c r="CO246" s="617"/>
      <c r="CP246" s="618"/>
      <c r="CQ246" s="613"/>
      <c r="CR246" s="402"/>
    </row>
    <row r="247" spans="2:96" ht="17.100000000000001" customHeight="1">
      <c r="B247" s="19"/>
      <c r="C247" s="19"/>
      <c r="D247" s="19"/>
      <c r="E247" s="19"/>
      <c r="F247" s="19"/>
      <c r="G247" s="19"/>
      <c r="H247" s="429">
        <f>IF($V$12="",0,SUM($H$167:H245)+1)</f>
        <v>0</v>
      </c>
      <c r="I247" s="339" t="str">
        <f>$D$12&amp;CHAR(10)&amp;"("&amp;$V$12&amp;")"</f>
        <v>환경보건
()</v>
      </c>
      <c r="J247" s="340"/>
      <c r="K247" s="340"/>
      <c r="L247" s="340"/>
      <c r="M247" s="326"/>
      <c r="N247" s="326"/>
      <c r="O247" s="326"/>
      <c r="P247" s="326"/>
      <c r="Q247" s="326"/>
      <c r="R247" s="326"/>
      <c r="S247" s="326"/>
      <c r="T247" s="326"/>
      <c r="U247" s="326"/>
      <c r="V247" s="326"/>
      <c r="W247" s="334">
        <v>0</v>
      </c>
      <c r="X247" s="334"/>
      <c r="Y247" s="334"/>
      <c r="Z247" s="334">
        <v>3</v>
      </c>
      <c r="AA247" s="334"/>
      <c r="AB247" s="334"/>
      <c r="AC247" s="425">
        <f t="shared" ref="AC247" si="345">ABS(W247-Z247)</f>
        <v>3</v>
      </c>
      <c r="AD247" s="425"/>
      <c r="AE247" s="192"/>
      <c r="AF247" s="626"/>
      <c r="AG247" s="627"/>
      <c r="AH247" s="186">
        <f t="shared" ref="AH247" si="346">IF(W247=0,1,AC247/W247)</f>
        <v>1</v>
      </c>
      <c r="AI247" s="428"/>
      <c r="AJ247" s="334"/>
      <c r="AK247" s="334"/>
      <c r="AL247" s="334"/>
      <c r="AM247" s="422"/>
      <c r="AS247" s="75"/>
      <c r="AT247" s="65"/>
      <c r="AU247" s="65"/>
      <c r="AV247" s="65"/>
      <c r="AW247" s="65"/>
      <c r="BF247" s="424">
        <f>IF($V$12="",0,SUM($BF$167:BF246)+1)</f>
        <v>0</v>
      </c>
      <c r="BG247" s="415" t="str">
        <f t="shared" ref="BG247" si="347">$D$12</f>
        <v>환경보건</v>
      </c>
      <c r="BH247" s="415"/>
      <c r="BI247" s="415"/>
      <c r="BJ247" s="415"/>
      <c r="BK247" s="415">
        <f>$V$12</f>
        <v>0</v>
      </c>
      <c r="BL247" s="415"/>
      <c r="BM247" s="415"/>
      <c r="BN247" s="415"/>
      <c r="BO247" s="413">
        <f t="shared" ref="BO247" si="348">W247</f>
        <v>0</v>
      </c>
      <c r="BP247" s="413">
        <f t="shared" ref="BP247" si="349">Z247</f>
        <v>3</v>
      </c>
      <c r="BQ247" s="413">
        <f t="shared" ref="BQ247" si="350">ABS(BO247-BP247)</f>
        <v>3</v>
      </c>
      <c r="BR247" s="413" t="str">
        <f t="shared" ref="BR247" si="351">IF(AF247="","",AF247)</f>
        <v/>
      </c>
      <c r="BS247" s="414">
        <f t="shared" ref="BS247" si="352">AH247</f>
        <v>1</v>
      </c>
      <c r="BT247" s="413">
        <f t="shared" ref="BT247" si="353">AJ247</f>
        <v>0</v>
      </c>
      <c r="BU247" s="413">
        <f t="shared" ref="BU247" si="354">AL247</f>
        <v>0</v>
      </c>
      <c r="CF247" s="1"/>
      <c r="CG247" t="s">
        <v>203</v>
      </c>
      <c r="CH247" s="619">
        <f>IF($J$13="",0,SUM($CH$167:CH246)+1)</f>
        <v>0</v>
      </c>
      <c r="CI247" s="620" t="str">
        <f>$D$13</f>
        <v>기타시설</v>
      </c>
      <c r="CJ247" s="620"/>
      <c r="CK247" s="620"/>
      <c r="CL247" s="620"/>
      <c r="CM247" s="620">
        <f>$J$13</f>
        <v>0</v>
      </c>
      <c r="CN247" s="620"/>
      <c r="CO247" s="620"/>
      <c r="CP247" s="621"/>
      <c r="CQ247" s="613">
        <f>$W255</f>
        <v>0</v>
      </c>
      <c r="CR247" s="402">
        <f>$Z255</f>
        <v>0</v>
      </c>
    </row>
    <row r="248" spans="2:96" ht="17.100000000000001" customHeight="1">
      <c r="B248" s="19"/>
      <c r="C248" s="19"/>
      <c r="D248" s="19"/>
      <c r="E248" s="19"/>
      <c r="F248" s="19"/>
      <c r="G248" s="19"/>
      <c r="H248" s="429"/>
      <c r="I248" s="339"/>
      <c r="J248" s="340"/>
      <c r="K248" s="340"/>
      <c r="L248" s="340"/>
      <c r="M248" s="326"/>
      <c r="N248" s="326"/>
      <c r="O248" s="326"/>
      <c r="P248" s="326"/>
      <c r="Q248" s="326"/>
      <c r="R248" s="326"/>
      <c r="S248" s="326"/>
      <c r="T248" s="326"/>
      <c r="U248" s="326"/>
      <c r="V248" s="326"/>
      <c r="W248" s="334"/>
      <c r="X248" s="334"/>
      <c r="Y248" s="334"/>
      <c r="Z248" s="334"/>
      <c r="AA248" s="334"/>
      <c r="AB248" s="334"/>
      <c r="AC248" s="425"/>
      <c r="AD248" s="425"/>
      <c r="AE248" s="192"/>
      <c r="AF248" s="626"/>
      <c r="AG248" s="627"/>
      <c r="AH248" s="186"/>
      <c r="AI248" s="428"/>
      <c r="AJ248" s="334"/>
      <c r="AK248" s="334"/>
      <c r="AL248" s="334"/>
      <c r="AM248" s="422"/>
      <c r="AS248" s="75"/>
      <c r="AT248" s="65"/>
      <c r="AU248" s="65"/>
      <c r="AV248" s="65"/>
      <c r="AW248" s="65"/>
      <c r="BF248" s="424"/>
      <c r="BG248" s="415"/>
      <c r="BH248" s="415"/>
      <c r="BI248" s="415"/>
      <c r="BJ248" s="415"/>
      <c r="BK248" s="415"/>
      <c r="BL248" s="415"/>
      <c r="BM248" s="415"/>
      <c r="BN248" s="415"/>
      <c r="BO248" s="413"/>
      <c r="BP248" s="413"/>
      <c r="BQ248" s="413"/>
      <c r="BR248" s="413"/>
      <c r="BS248" s="413"/>
      <c r="BT248" s="413"/>
      <c r="BU248" s="413"/>
      <c r="CF248" s="1"/>
      <c r="CH248" s="614"/>
      <c r="CI248" s="415"/>
      <c r="CJ248" s="415"/>
      <c r="CK248" s="415"/>
      <c r="CL248" s="415"/>
      <c r="CM248" s="415"/>
      <c r="CN248" s="415"/>
      <c r="CO248" s="415"/>
      <c r="CP248" s="615"/>
      <c r="CQ248" s="613"/>
      <c r="CR248" s="402"/>
    </row>
    <row r="249" spans="2:96" ht="17.100000000000001" customHeight="1">
      <c r="B249" s="19"/>
      <c r="C249" s="19"/>
      <c r="D249" s="19"/>
      <c r="E249" s="19"/>
      <c r="F249" s="19"/>
      <c r="G249" s="19"/>
      <c r="H249" s="429">
        <f>IF($AB$12="",0,SUM($H$167:H247)+1)</f>
        <v>0</v>
      </c>
      <c r="I249" s="339" t="str">
        <f>$D$12&amp;CHAR(10)&amp;"("&amp;$AB$12&amp;")"</f>
        <v>환경보건
()</v>
      </c>
      <c r="J249" s="340"/>
      <c r="K249" s="340"/>
      <c r="L249" s="340"/>
      <c r="M249" s="326"/>
      <c r="N249" s="326"/>
      <c r="O249" s="326"/>
      <c r="P249" s="326"/>
      <c r="Q249" s="326"/>
      <c r="R249" s="326"/>
      <c r="S249" s="326"/>
      <c r="T249" s="326"/>
      <c r="U249" s="326"/>
      <c r="V249" s="326"/>
      <c r="W249" s="334">
        <v>0</v>
      </c>
      <c r="X249" s="334"/>
      <c r="Y249" s="334"/>
      <c r="Z249" s="334">
        <v>4</v>
      </c>
      <c r="AA249" s="334"/>
      <c r="AB249" s="334"/>
      <c r="AC249" s="425">
        <f t="shared" ref="AC249" si="355">ABS(W249-Z249)</f>
        <v>4</v>
      </c>
      <c r="AD249" s="425"/>
      <c r="AE249" s="192"/>
      <c r="AF249" s="626"/>
      <c r="AG249" s="627"/>
      <c r="AH249" s="186">
        <f t="shared" ref="AH249" si="356">IF(W249=0,1,AC249/W249)</f>
        <v>1</v>
      </c>
      <c r="AI249" s="428"/>
      <c r="AJ249" s="334"/>
      <c r="AK249" s="334"/>
      <c r="AL249" s="334"/>
      <c r="AM249" s="422"/>
      <c r="AS249" s="75"/>
      <c r="AT249" s="65"/>
      <c r="AU249" s="65"/>
      <c r="AV249" s="65"/>
      <c r="AW249" s="65"/>
      <c r="BF249" s="424">
        <f>IF($AB$12="",0,SUM($BF$167:BF248)+1)</f>
        <v>0</v>
      </c>
      <c r="BG249" s="415" t="str">
        <f t="shared" ref="BG249" si="357">$D$12</f>
        <v>환경보건</v>
      </c>
      <c r="BH249" s="415"/>
      <c r="BI249" s="415"/>
      <c r="BJ249" s="415"/>
      <c r="BK249" s="415">
        <f>$AB$12</f>
        <v>0</v>
      </c>
      <c r="BL249" s="415"/>
      <c r="BM249" s="415"/>
      <c r="BN249" s="415"/>
      <c r="BO249" s="413">
        <f t="shared" ref="BO249" si="358">W249</f>
        <v>0</v>
      </c>
      <c r="BP249" s="413">
        <f t="shared" ref="BP249" si="359">Z249</f>
        <v>4</v>
      </c>
      <c r="BQ249" s="413">
        <f t="shared" ref="BQ249" si="360">ABS(BO249-BP249)</f>
        <v>4</v>
      </c>
      <c r="BR249" s="413" t="str">
        <f t="shared" ref="BR249" si="361">IF(AF249="","",AF249)</f>
        <v/>
      </c>
      <c r="BS249" s="414">
        <f t="shared" ref="BS249" si="362">AH249</f>
        <v>1</v>
      </c>
      <c r="BT249" s="413">
        <f t="shared" ref="BT249" si="363">AJ249</f>
        <v>0</v>
      </c>
      <c r="BU249" s="413">
        <f t="shared" ref="BU249" si="364">AL249</f>
        <v>0</v>
      </c>
      <c r="CF249" s="1"/>
      <c r="CH249" s="614">
        <f>IF($P$13="",0,SUM($CH$167:CH248)+1)</f>
        <v>0</v>
      </c>
      <c r="CI249" s="415" t="str">
        <f t="shared" ref="CI249" si="365">$D$13</f>
        <v>기타시설</v>
      </c>
      <c r="CJ249" s="415"/>
      <c r="CK249" s="415"/>
      <c r="CL249" s="415"/>
      <c r="CM249" s="415">
        <f>$P$13</f>
        <v>0</v>
      </c>
      <c r="CN249" s="415"/>
      <c r="CO249" s="415"/>
      <c r="CP249" s="615"/>
      <c r="CQ249" s="613">
        <f t="shared" ref="CQ249" si="366">$W257</f>
        <v>0</v>
      </c>
      <c r="CR249" s="402">
        <f t="shared" ref="CR249" si="367">$Z257</f>
        <v>0</v>
      </c>
    </row>
    <row r="250" spans="2:96" ht="17.100000000000001" customHeight="1">
      <c r="B250" s="19"/>
      <c r="C250" s="19"/>
      <c r="D250" s="19"/>
      <c r="E250" s="19"/>
      <c r="F250" s="19"/>
      <c r="G250" s="19"/>
      <c r="H250" s="429"/>
      <c r="I250" s="339"/>
      <c r="J250" s="340"/>
      <c r="K250" s="340"/>
      <c r="L250" s="340"/>
      <c r="M250" s="326"/>
      <c r="N250" s="326"/>
      <c r="O250" s="326"/>
      <c r="P250" s="326"/>
      <c r="Q250" s="326"/>
      <c r="R250" s="326"/>
      <c r="S250" s="326"/>
      <c r="T250" s="326"/>
      <c r="U250" s="326"/>
      <c r="V250" s="326"/>
      <c r="W250" s="334"/>
      <c r="X250" s="334"/>
      <c r="Y250" s="334"/>
      <c r="Z250" s="334"/>
      <c r="AA250" s="334"/>
      <c r="AB250" s="334"/>
      <c r="AC250" s="425"/>
      <c r="AD250" s="425"/>
      <c r="AE250" s="192"/>
      <c r="AF250" s="626"/>
      <c r="AG250" s="627"/>
      <c r="AH250" s="186"/>
      <c r="AI250" s="428"/>
      <c r="AJ250" s="334"/>
      <c r="AK250" s="334"/>
      <c r="AL250" s="334"/>
      <c r="AM250" s="422"/>
      <c r="AS250" s="75"/>
      <c r="AT250" s="65"/>
      <c r="AU250" s="65"/>
      <c r="AV250" s="65"/>
      <c r="AW250" s="65"/>
      <c r="BF250" s="424"/>
      <c r="BG250" s="415"/>
      <c r="BH250" s="415"/>
      <c r="BI250" s="415"/>
      <c r="BJ250" s="415"/>
      <c r="BK250" s="415"/>
      <c r="BL250" s="415"/>
      <c r="BM250" s="415"/>
      <c r="BN250" s="415"/>
      <c r="BO250" s="413"/>
      <c r="BP250" s="413"/>
      <c r="BQ250" s="413"/>
      <c r="BR250" s="413"/>
      <c r="BS250" s="413"/>
      <c r="BT250" s="413"/>
      <c r="BU250" s="413"/>
      <c r="CF250" s="1"/>
      <c r="CH250" s="614"/>
      <c r="CI250" s="415"/>
      <c r="CJ250" s="415"/>
      <c r="CK250" s="415"/>
      <c r="CL250" s="415"/>
      <c r="CM250" s="415"/>
      <c r="CN250" s="415"/>
      <c r="CO250" s="415"/>
      <c r="CP250" s="615"/>
      <c r="CQ250" s="613"/>
      <c r="CR250" s="402"/>
    </row>
    <row r="251" spans="2:96" ht="17.100000000000001" customHeight="1">
      <c r="B251" s="19"/>
      <c r="C251" s="19"/>
      <c r="D251" s="19"/>
      <c r="E251" s="19"/>
      <c r="F251" s="19"/>
      <c r="G251" s="19"/>
      <c r="H251" s="429">
        <f>IF($AH$12="",0,SUM($H$167:H249)+1)</f>
        <v>0</v>
      </c>
      <c r="I251" s="430" t="str">
        <f>$D$12&amp;CHAR(10)&amp;"("&amp;$AH$12&amp;")"</f>
        <v>환경보건
()</v>
      </c>
      <c r="J251" s="431"/>
      <c r="K251" s="431"/>
      <c r="L251" s="431"/>
      <c r="M251" s="326"/>
      <c r="N251" s="326"/>
      <c r="O251" s="326"/>
      <c r="P251" s="326"/>
      <c r="Q251" s="326"/>
      <c r="R251" s="326"/>
      <c r="S251" s="326"/>
      <c r="T251" s="326"/>
      <c r="U251" s="326"/>
      <c r="V251" s="326"/>
      <c r="W251" s="334">
        <v>0</v>
      </c>
      <c r="X251" s="334"/>
      <c r="Y251" s="334"/>
      <c r="Z251" s="334">
        <v>5</v>
      </c>
      <c r="AA251" s="334"/>
      <c r="AB251" s="334"/>
      <c r="AC251" s="475">
        <f t="shared" ref="AC251" si="368">ABS(W251-Z251)</f>
        <v>5</v>
      </c>
      <c r="AD251" s="475"/>
      <c r="AE251" s="476"/>
      <c r="AF251" s="626"/>
      <c r="AG251" s="627"/>
      <c r="AH251" s="418">
        <f t="shared" ref="AH251" si="369">IF(W251=0,1,AC251/W251)</f>
        <v>1</v>
      </c>
      <c r="AI251" s="419"/>
      <c r="AJ251" s="334"/>
      <c r="AK251" s="334"/>
      <c r="AL251" s="334"/>
      <c r="AM251" s="422"/>
      <c r="AS251" s="60"/>
      <c r="AT251" s="65"/>
      <c r="AU251" s="65"/>
      <c r="AV251" s="65"/>
      <c r="AW251" s="65"/>
      <c r="BF251" s="424">
        <f>IF($AH$12="",0,SUM($BF$167:BF250)+1)</f>
        <v>0</v>
      </c>
      <c r="BG251" s="415" t="str">
        <f t="shared" ref="BG251" si="370">$D$12</f>
        <v>환경보건</v>
      </c>
      <c r="BH251" s="415"/>
      <c r="BI251" s="415"/>
      <c r="BJ251" s="415"/>
      <c r="BK251" s="415">
        <f>$AH$12</f>
        <v>0</v>
      </c>
      <c r="BL251" s="415"/>
      <c r="BM251" s="415"/>
      <c r="BN251" s="415"/>
      <c r="BO251" s="413">
        <f>W251</f>
        <v>0</v>
      </c>
      <c r="BP251" s="413">
        <f t="shared" ref="BP251" si="371">Z251</f>
        <v>5</v>
      </c>
      <c r="BQ251" s="413">
        <f t="shared" si="325"/>
        <v>5</v>
      </c>
      <c r="BR251" s="413" t="str">
        <f t="shared" ref="BR251" si="372">IF(AF251="","",AF251)</f>
        <v/>
      </c>
      <c r="BS251" s="414">
        <f t="shared" si="326"/>
        <v>1</v>
      </c>
      <c r="BT251" s="413">
        <f t="shared" ref="BT251" si="373">AJ251</f>
        <v>0</v>
      </c>
      <c r="BU251" s="413">
        <f t="shared" si="328"/>
        <v>0</v>
      </c>
      <c r="CF251" s="402">
        <f>SUM($CF$167:CF244)*2</f>
        <v>8738934717795102</v>
      </c>
      <c r="CH251" s="614">
        <f>IF($V$13="",0,SUM($CH$167:CH250)+1)</f>
        <v>0</v>
      </c>
      <c r="CI251" s="415" t="str">
        <f t="shared" ref="CI251" si="374">$D$13</f>
        <v>기타시설</v>
      </c>
      <c r="CJ251" s="415"/>
      <c r="CK251" s="415"/>
      <c r="CL251" s="415"/>
      <c r="CM251" s="415">
        <f>$V$13</f>
        <v>0</v>
      </c>
      <c r="CN251" s="415"/>
      <c r="CO251" s="415"/>
      <c r="CP251" s="615"/>
      <c r="CQ251" s="613">
        <f t="shared" ref="CQ251" si="375">$W259</f>
        <v>0</v>
      </c>
      <c r="CR251" s="402">
        <f t="shared" ref="CR251" si="376">$Z259</f>
        <v>0</v>
      </c>
    </row>
    <row r="252" spans="2:96" ht="17.100000000000001" customHeight="1" thickBot="1">
      <c r="B252" s="19"/>
      <c r="C252" s="19"/>
      <c r="D252" s="19"/>
      <c r="E252" s="19"/>
      <c r="F252" s="19"/>
      <c r="G252" s="19"/>
      <c r="H252" s="429"/>
      <c r="I252" s="341"/>
      <c r="J252" s="342"/>
      <c r="K252" s="342"/>
      <c r="L252" s="342"/>
      <c r="M252" s="432"/>
      <c r="N252" s="432"/>
      <c r="O252" s="432"/>
      <c r="P252" s="432"/>
      <c r="Q252" s="432"/>
      <c r="R252" s="432"/>
      <c r="S252" s="432"/>
      <c r="T252" s="432"/>
      <c r="U252" s="432"/>
      <c r="V252" s="432"/>
      <c r="W252" s="421"/>
      <c r="X252" s="421"/>
      <c r="Y252" s="421"/>
      <c r="Z252" s="421"/>
      <c r="AA252" s="421"/>
      <c r="AB252" s="421"/>
      <c r="AC252" s="426"/>
      <c r="AD252" s="426"/>
      <c r="AE252" s="195"/>
      <c r="AF252" s="405"/>
      <c r="AG252" s="406"/>
      <c r="AH252" s="188"/>
      <c r="AI252" s="420"/>
      <c r="AJ252" s="421"/>
      <c r="AK252" s="421"/>
      <c r="AL252" s="421"/>
      <c r="AM252" s="423"/>
      <c r="AS252" s="62"/>
      <c r="AT252" s="65"/>
      <c r="AU252" s="65"/>
      <c r="AV252" s="65"/>
      <c r="AW252" s="65"/>
      <c r="BF252" s="424"/>
      <c r="BG252" s="415"/>
      <c r="BH252" s="415"/>
      <c r="BI252" s="415"/>
      <c r="BJ252" s="415"/>
      <c r="BK252" s="415"/>
      <c r="BL252" s="415"/>
      <c r="BM252" s="415"/>
      <c r="BN252" s="415"/>
      <c r="BO252" s="413"/>
      <c r="BP252" s="413"/>
      <c r="BQ252" s="413"/>
      <c r="BR252" s="413"/>
      <c r="BS252" s="413"/>
      <c r="BT252" s="413"/>
      <c r="BU252" s="413"/>
      <c r="CF252" s="402"/>
      <c r="CH252" s="614"/>
      <c r="CI252" s="415"/>
      <c r="CJ252" s="415"/>
      <c r="CK252" s="415"/>
      <c r="CL252" s="415"/>
      <c r="CM252" s="415"/>
      <c r="CN252" s="415"/>
      <c r="CO252" s="415"/>
      <c r="CP252" s="615"/>
      <c r="CQ252" s="613"/>
      <c r="CR252" s="402"/>
    </row>
    <row r="253" spans="2:96" ht="17.100000000000001" customHeight="1">
      <c r="B253" s="19"/>
      <c r="C253" s="19"/>
      <c r="D253" s="19"/>
      <c r="E253" s="19"/>
      <c r="F253" s="19"/>
      <c r="G253" s="19"/>
      <c r="H253" s="170"/>
      <c r="I253" s="376" t="b">
        <f>IF(AC253&gt;0,"합계(소음)")</f>
        <v>0</v>
      </c>
      <c r="J253" s="441"/>
      <c r="K253" s="441"/>
      <c r="L253" s="441"/>
      <c r="M253" s="441"/>
      <c r="N253" s="441"/>
      <c r="O253" s="441"/>
      <c r="P253" s="441"/>
      <c r="Q253" s="441"/>
      <c r="R253" s="441"/>
      <c r="S253" s="441"/>
      <c r="T253" s="441"/>
      <c r="U253" s="441"/>
      <c r="V253" s="442"/>
      <c r="W253" s="409">
        <f>SUMIF(AF243:AG252,AF253,W243:Y252)</f>
        <v>0</v>
      </c>
      <c r="X253" s="377"/>
      <c r="Y253" s="410"/>
      <c r="Z253" s="409">
        <f>SUMIF($AF$243:$AG$252,$AF253,$Z$243:$AB$252)</f>
        <v>0</v>
      </c>
      <c r="AA253" s="377"/>
      <c r="AB253" s="410"/>
      <c r="AC253" s="409">
        <f>ABS(W253-Z253)</f>
        <v>0</v>
      </c>
      <c r="AD253" s="377"/>
      <c r="AE253" s="410"/>
      <c r="AF253" s="416" t="s">
        <v>153</v>
      </c>
      <c r="AG253" s="417"/>
      <c r="AH253" s="407" t="e">
        <f>AC253/W253</f>
        <v>#DIV/0!</v>
      </c>
      <c r="AI253" s="408"/>
      <c r="AJ253" s="409"/>
      <c r="AK253" s="410"/>
      <c r="AL253" s="409"/>
      <c r="AM253" s="378"/>
      <c r="AS253" s="75"/>
      <c r="BF253" s="70">
        <f>IF(BQ253=0,0,SUM(BF167:BF252)+1)</f>
        <v>0</v>
      </c>
      <c r="BG253" s="440" t="s">
        <v>247</v>
      </c>
      <c r="BH253" s="440"/>
      <c r="BI253" s="440"/>
      <c r="BJ253" s="440"/>
      <c r="BK253" s="440" t="b">
        <f>I253</f>
        <v>0</v>
      </c>
      <c r="BL253" s="440"/>
      <c r="BM253" s="440"/>
      <c r="BN253" s="440"/>
      <c r="BO253" s="70">
        <f>W253</f>
        <v>0</v>
      </c>
      <c r="BP253" s="70">
        <f>Z253</f>
        <v>0</v>
      </c>
      <c r="BQ253" s="70">
        <f>ABS(BO253-BP253)</f>
        <v>0</v>
      </c>
      <c r="BR253" s="70" t="str">
        <f>AF253</f>
        <v>dB</v>
      </c>
      <c r="BS253" s="71" t="e">
        <f>AH253</f>
        <v>#DIV/0!</v>
      </c>
      <c r="BT253" s="72"/>
      <c r="BU253" s="72"/>
      <c r="CF253" s="402">
        <f>SUM($CF$167:CF252)*2</f>
        <v>2.6216804153385304E+16</v>
      </c>
      <c r="CH253" s="614">
        <f>IF($AB$13="",0,SUM($CH$167:CH252)+1)</f>
        <v>0</v>
      </c>
      <c r="CI253" s="415" t="str">
        <f t="shared" ref="CI253" si="377">$D$13</f>
        <v>기타시설</v>
      </c>
      <c r="CJ253" s="415"/>
      <c r="CK253" s="415"/>
      <c r="CL253" s="415"/>
      <c r="CM253" s="415">
        <f>$AB$13</f>
        <v>0</v>
      </c>
      <c r="CN253" s="415"/>
      <c r="CO253" s="415"/>
      <c r="CP253" s="615"/>
      <c r="CQ253" s="613">
        <f t="shared" ref="CQ253" si="378">$W261</f>
        <v>0</v>
      </c>
      <c r="CR253" s="402">
        <f t="shared" ref="CR253" si="379">$Z261</f>
        <v>0</v>
      </c>
    </row>
    <row r="254" spans="2:96" ht="17.100000000000001" customHeight="1" thickBot="1">
      <c r="B254" s="19"/>
      <c r="C254" s="19"/>
      <c r="D254" s="19"/>
      <c r="E254" s="19"/>
      <c r="F254" s="19"/>
      <c r="G254" s="19"/>
      <c r="H254" s="170"/>
      <c r="I254" s="671" t="b">
        <f>IF(AC254&gt;0,"합계(악취)")</f>
        <v>0</v>
      </c>
      <c r="J254" s="672"/>
      <c r="K254" s="672"/>
      <c r="L254" s="672"/>
      <c r="M254" s="672"/>
      <c r="N254" s="672"/>
      <c r="O254" s="672"/>
      <c r="P254" s="672"/>
      <c r="Q254" s="672"/>
      <c r="R254" s="672"/>
      <c r="S254" s="672"/>
      <c r="T254" s="672"/>
      <c r="U254" s="672"/>
      <c r="V254" s="672"/>
      <c r="W254" s="608">
        <f>SUMIF(AF243:AG252,AF254,W243:Y252)</f>
        <v>0</v>
      </c>
      <c r="X254" s="608"/>
      <c r="Y254" s="608"/>
      <c r="Z254" s="663">
        <f>SUMIF($AF$243:$AG$252,$AF254,$Z$243:$AB$252)</f>
        <v>0</v>
      </c>
      <c r="AA254" s="661"/>
      <c r="AB254" s="662"/>
      <c r="AC254" s="663">
        <f>ABS(W254-Z254)</f>
        <v>0</v>
      </c>
      <c r="AD254" s="661"/>
      <c r="AE254" s="662"/>
      <c r="AF254" s="667" t="s">
        <v>125</v>
      </c>
      <c r="AG254" s="668"/>
      <c r="AH254" s="674" t="e">
        <f>AC254/W254</f>
        <v>#DIV/0!</v>
      </c>
      <c r="AI254" s="674"/>
      <c r="AJ254" s="608"/>
      <c r="AK254" s="608"/>
      <c r="AL254" s="608"/>
      <c r="AM254" s="609"/>
      <c r="AS254" s="75"/>
      <c r="BF254" s="70">
        <f>IF(BQ254=0,0,SUM(BF167:BF253)+1)</f>
        <v>0</v>
      </c>
      <c r="BG254" s="675" t="s">
        <v>247</v>
      </c>
      <c r="BH254" s="440"/>
      <c r="BI254" s="440"/>
      <c r="BJ254" s="440"/>
      <c r="BK254" s="440" t="b">
        <f>I254</f>
        <v>0</v>
      </c>
      <c r="BL254" s="440"/>
      <c r="BM254" s="440"/>
      <c r="BN254" s="440"/>
      <c r="BO254" s="70">
        <f>W254</f>
        <v>0</v>
      </c>
      <c r="BP254" s="70">
        <f>Z254</f>
        <v>0</v>
      </c>
      <c r="BQ254" s="70">
        <f>ABS(BO254-BP254)</f>
        <v>0</v>
      </c>
      <c r="BR254" s="70" t="str">
        <f>AF254</f>
        <v>배</v>
      </c>
      <c r="BS254" s="71" t="e">
        <f>AH254</f>
        <v>#DIV/0!</v>
      </c>
      <c r="BT254" s="72"/>
      <c r="BU254" s="72"/>
      <c r="CF254" s="402"/>
      <c r="CH254" s="614"/>
      <c r="CI254" s="415"/>
      <c r="CJ254" s="415"/>
      <c r="CK254" s="415"/>
      <c r="CL254" s="415"/>
      <c r="CM254" s="415"/>
      <c r="CN254" s="415"/>
      <c r="CO254" s="415"/>
      <c r="CP254" s="615"/>
      <c r="CQ254" s="613"/>
      <c r="CR254" s="402"/>
    </row>
    <row r="255" spans="2:96" ht="17.100000000000001" customHeight="1">
      <c r="B255" s="19"/>
      <c r="C255" s="19"/>
      <c r="D255" s="19"/>
      <c r="E255" s="19" t="s">
        <v>82</v>
      </c>
      <c r="F255" s="19"/>
      <c r="G255" s="19"/>
      <c r="H255" s="429">
        <f>IF($J$13="",0,SUM($H$167:H253)+1)</f>
        <v>0</v>
      </c>
      <c r="I255" s="337" t="str">
        <f>$D$13&amp;CHAR(10)&amp;"("&amp;$J$13&amp;")"</f>
        <v>기타시설
()</v>
      </c>
      <c r="J255" s="338"/>
      <c r="K255" s="338"/>
      <c r="L255" s="338"/>
      <c r="M255" s="482"/>
      <c r="N255" s="482"/>
      <c r="O255" s="482"/>
      <c r="P255" s="482"/>
      <c r="Q255" s="482"/>
      <c r="R255" s="482"/>
      <c r="S255" s="482"/>
      <c r="T255" s="482"/>
      <c r="U255" s="482"/>
      <c r="V255" s="482"/>
      <c r="W255" s="484"/>
      <c r="X255" s="484"/>
      <c r="Y255" s="484"/>
      <c r="Z255" s="484"/>
      <c r="AA255" s="484"/>
      <c r="AB255" s="484"/>
      <c r="AC255" s="463">
        <f>ABS(W255-Z255)</f>
        <v>0</v>
      </c>
      <c r="AD255" s="463"/>
      <c r="AE255" s="198"/>
      <c r="AF255" s="624"/>
      <c r="AG255" s="625"/>
      <c r="AH255" s="184">
        <f>IF(W255=0,1,AC255/W255)</f>
        <v>1</v>
      </c>
      <c r="AI255" s="478"/>
      <c r="AJ255" s="484"/>
      <c r="AK255" s="484"/>
      <c r="AL255" s="484"/>
      <c r="AM255" s="604"/>
      <c r="AS255" s="76"/>
      <c r="BE255" t="s">
        <v>181</v>
      </c>
      <c r="BF255" s="424">
        <f>IF($J$13="",0,SUM($BF$167:BF254)+1)</f>
        <v>0</v>
      </c>
      <c r="BG255" s="415" t="str">
        <f>$D$13</f>
        <v>기타시설</v>
      </c>
      <c r="BH255" s="415"/>
      <c r="BI255" s="415"/>
      <c r="BJ255" s="415"/>
      <c r="BK255" s="415">
        <f>$J$13</f>
        <v>0</v>
      </c>
      <c r="BL255" s="415"/>
      <c r="BM255" s="415"/>
      <c r="BN255" s="415"/>
      <c r="BO255" s="413">
        <f>W255</f>
        <v>0</v>
      </c>
      <c r="BP255" s="413">
        <f>Z255</f>
        <v>0</v>
      </c>
      <c r="BQ255" s="413">
        <f t="shared" ref="BQ255" si="380">ABS(BO255-BP255)</f>
        <v>0</v>
      </c>
      <c r="BR255" s="413" t="str">
        <f>IF(AF255="","",AF255)</f>
        <v/>
      </c>
      <c r="BS255" s="414">
        <f t="shared" ref="BS255" si="381">AH255</f>
        <v>1</v>
      </c>
      <c r="BT255" s="413">
        <f t="shared" ref="BT255" si="382">AJ255</f>
        <v>0</v>
      </c>
      <c r="BU255" s="413">
        <f t="shared" ref="BU255" si="383">AL255</f>
        <v>0</v>
      </c>
      <c r="CH255" s="614">
        <f>IF($AH$13="",0,SUM($CH$167:CH254)+1)</f>
        <v>0</v>
      </c>
      <c r="CI255" s="415" t="str">
        <f t="shared" ref="CI255" si="384">$D$13</f>
        <v>기타시설</v>
      </c>
      <c r="CJ255" s="415"/>
      <c r="CK255" s="415"/>
      <c r="CL255" s="415"/>
      <c r="CM255" s="415">
        <f>$AH$13</f>
        <v>0</v>
      </c>
      <c r="CN255" s="415"/>
      <c r="CO255" s="415"/>
      <c r="CP255" s="615"/>
      <c r="CQ255" s="613">
        <f t="shared" ref="CQ255" si="385">$W263</f>
        <v>0</v>
      </c>
      <c r="CR255" s="402">
        <f t="shared" ref="CR255" si="386">$Z263</f>
        <v>0</v>
      </c>
    </row>
    <row r="256" spans="2:96" ht="17.100000000000001" customHeight="1" thickBot="1">
      <c r="B256" s="19"/>
      <c r="C256" s="19"/>
      <c r="D256" s="19"/>
      <c r="E256" s="19"/>
      <c r="F256" s="19"/>
      <c r="G256" s="19"/>
      <c r="H256" s="429"/>
      <c r="I256" s="480"/>
      <c r="J256" s="481"/>
      <c r="K256" s="481"/>
      <c r="L256" s="481"/>
      <c r="M256" s="326"/>
      <c r="N256" s="326"/>
      <c r="O256" s="326"/>
      <c r="P256" s="326"/>
      <c r="Q256" s="326"/>
      <c r="R256" s="326"/>
      <c r="S256" s="326"/>
      <c r="T256" s="326"/>
      <c r="U256" s="326"/>
      <c r="V256" s="326"/>
      <c r="W256" s="334"/>
      <c r="X256" s="334"/>
      <c r="Y256" s="334"/>
      <c r="Z256" s="433"/>
      <c r="AA256" s="433"/>
      <c r="AB256" s="433"/>
      <c r="AC256" s="464"/>
      <c r="AD256" s="464"/>
      <c r="AE256" s="477"/>
      <c r="AF256" s="669"/>
      <c r="AG256" s="670"/>
      <c r="AH256" s="467"/>
      <c r="AI256" s="479"/>
      <c r="AJ256" s="334"/>
      <c r="AK256" s="334"/>
      <c r="AL256" s="334"/>
      <c r="AM256" s="422"/>
      <c r="AS256" s="76"/>
      <c r="BF256" s="424"/>
      <c r="BG256" s="415"/>
      <c r="BH256" s="415"/>
      <c r="BI256" s="415"/>
      <c r="BJ256" s="415"/>
      <c r="BK256" s="415"/>
      <c r="BL256" s="415"/>
      <c r="BM256" s="415"/>
      <c r="BN256" s="415"/>
      <c r="BO256" s="413"/>
      <c r="BP256" s="413"/>
      <c r="BQ256" s="413"/>
      <c r="BR256" s="413"/>
      <c r="BS256" s="413"/>
      <c r="BT256" s="413"/>
      <c r="BU256" s="413"/>
      <c r="CH256" s="616"/>
      <c r="CI256" s="617"/>
      <c r="CJ256" s="617"/>
      <c r="CK256" s="617"/>
      <c r="CL256" s="617"/>
      <c r="CM256" s="617"/>
      <c r="CN256" s="617"/>
      <c r="CO256" s="617"/>
      <c r="CP256" s="618"/>
      <c r="CQ256" s="613"/>
      <c r="CR256" s="402"/>
    </row>
    <row r="257" spans="2:94" ht="17.100000000000001" customHeight="1">
      <c r="B257" s="19"/>
      <c r="C257" s="19"/>
      <c r="D257" s="19"/>
      <c r="E257" s="19"/>
      <c r="F257" s="19"/>
      <c r="G257" s="19"/>
      <c r="H257" s="429">
        <f>IF($P$13="",0,SUM($H$167:H255)+1)</f>
        <v>0</v>
      </c>
      <c r="I257" s="339" t="str">
        <f>$D$13&amp;CHAR(10)&amp;"("&amp;$P$13&amp;")"</f>
        <v>기타시설
()</v>
      </c>
      <c r="J257" s="340"/>
      <c r="K257" s="340"/>
      <c r="L257" s="340"/>
      <c r="M257" s="326"/>
      <c r="N257" s="326"/>
      <c r="O257" s="326"/>
      <c r="P257" s="326"/>
      <c r="Q257" s="326"/>
      <c r="R257" s="326"/>
      <c r="S257" s="326"/>
      <c r="T257" s="326"/>
      <c r="U257" s="326"/>
      <c r="V257" s="326"/>
      <c r="W257" s="334"/>
      <c r="X257" s="334"/>
      <c r="Y257" s="334"/>
      <c r="Z257" s="334"/>
      <c r="AA257" s="334"/>
      <c r="AB257" s="334"/>
      <c r="AC257" s="425">
        <f t="shared" ref="AC257" si="387">ABS(W257-Z257)</f>
        <v>0</v>
      </c>
      <c r="AD257" s="425"/>
      <c r="AE257" s="192"/>
      <c r="AF257" s="626"/>
      <c r="AG257" s="627"/>
      <c r="AH257" s="186">
        <f t="shared" ref="AH257" si="388">IF(W257=0,1,AC257/W257)</f>
        <v>1</v>
      </c>
      <c r="AI257" s="428"/>
      <c r="AJ257" s="334"/>
      <c r="AK257" s="334"/>
      <c r="AL257" s="334"/>
      <c r="AM257" s="422"/>
      <c r="AS257" s="76"/>
      <c r="BF257" s="424">
        <f>IF($P$13="",0,SUM($BF$167:BF256)+1)</f>
        <v>0</v>
      </c>
      <c r="BG257" s="415" t="str">
        <f t="shared" ref="BG257" si="389">$D$13</f>
        <v>기타시설</v>
      </c>
      <c r="BH257" s="415"/>
      <c r="BI257" s="415"/>
      <c r="BJ257" s="415"/>
      <c r="BK257" s="415">
        <f>$P$13</f>
        <v>0</v>
      </c>
      <c r="BL257" s="415"/>
      <c r="BM257" s="415"/>
      <c r="BN257" s="415"/>
      <c r="BO257" s="413">
        <f>W257</f>
        <v>0</v>
      </c>
      <c r="BP257" s="413">
        <f>Z257</f>
        <v>0</v>
      </c>
      <c r="BQ257" s="413">
        <f t="shared" ref="BQ257" si="390">ABS(BO257-BP257)</f>
        <v>0</v>
      </c>
      <c r="BR257" s="413" t="str">
        <f t="shared" ref="BR257" si="391">IF(AF257="","",AF257)</f>
        <v/>
      </c>
      <c r="BS257" s="414">
        <f t="shared" ref="BS257" si="392">AH257</f>
        <v>1</v>
      </c>
      <c r="BT257" s="413">
        <f t="shared" ref="BT257" si="393">AJ257</f>
        <v>0</v>
      </c>
      <c r="BU257" s="413">
        <f t="shared" ref="BU257" si="394">AL257</f>
        <v>0</v>
      </c>
      <c r="CI257" s="15"/>
      <c r="CJ257" s="15"/>
      <c r="CK257" s="15"/>
      <c r="CL257" s="15"/>
      <c r="CM257" s="15"/>
      <c r="CN257" s="15"/>
      <c r="CO257" s="15"/>
      <c r="CP257" s="15"/>
    </row>
    <row r="258" spans="2:94" ht="17.100000000000001" customHeight="1">
      <c r="B258" s="19"/>
      <c r="C258" s="19"/>
      <c r="D258" s="19"/>
      <c r="E258" s="19"/>
      <c r="F258" s="19"/>
      <c r="G258" s="19"/>
      <c r="H258" s="429"/>
      <c r="I258" s="339"/>
      <c r="J258" s="340"/>
      <c r="K258" s="340"/>
      <c r="L258" s="340"/>
      <c r="M258" s="326"/>
      <c r="N258" s="326"/>
      <c r="O258" s="326"/>
      <c r="P258" s="326"/>
      <c r="Q258" s="326"/>
      <c r="R258" s="326"/>
      <c r="S258" s="326"/>
      <c r="T258" s="326"/>
      <c r="U258" s="326"/>
      <c r="V258" s="326"/>
      <c r="W258" s="334"/>
      <c r="X258" s="334"/>
      <c r="Y258" s="334"/>
      <c r="Z258" s="334"/>
      <c r="AA258" s="334"/>
      <c r="AB258" s="334"/>
      <c r="AC258" s="425"/>
      <c r="AD258" s="425"/>
      <c r="AE258" s="192"/>
      <c r="AF258" s="626"/>
      <c r="AG258" s="627"/>
      <c r="AH258" s="186"/>
      <c r="AI258" s="428"/>
      <c r="AJ258" s="334"/>
      <c r="AK258" s="334"/>
      <c r="AL258" s="334"/>
      <c r="AM258" s="422"/>
      <c r="AS258" s="60"/>
      <c r="BF258" s="424"/>
      <c r="BG258" s="415"/>
      <c r="BH258" s="415"/>
      <c r="BI258" s="415"/>
      <c r="BJ258" s="415"/>
      <c r="BK258" s="415"/>
      <c r="BL258" s="415"/>
      <c r="BM258" s="415"/>
      <c r="BN258" s="415"/>
      <c r="BO258" s="413"/>
      <c r="BP258" s="413"/>
      <c r="BQ258" s="413"/>
      <c r="BR258" s="413"/>
      <c r="BS258" s="413"/>
      <c r="BT258" s="413"/>
      <c r="BU258" s="413"/>
      <c r="CI258" s="15"/>
      <c r="CJ258" s="15"/>
      <c r="CK258" s="15"/>
      <c r="CL258" s="15"/>
      <c r="CM258" s="15"/>
      <c r="CN258" s="15"/>
      <c r="CO258" s="15"/>
      <c r="CP258" s="15"/>
    </row>
    <row r="259" spans="2:94" ht="17.100000000000001" customHeight="1">
      <c r="B259" s="19"/>
      <c r="C259" s="19"/>
      <c r="D259" s="19"/>
      <c r="E259" s="19"/>
      <c r="F259" s="19"/>
      <c r="G259" s="19"/>
      <c r="H259" s="429">
        <f>IF($V$13="",0,SUM($H$167:H257)+1)</f>
        <v>0</v>
      </c>
      <c r="I259" s="339" t="str">
        <f>$D$13&amp;CHAR(10)&amp;"("&amp;$V$13&amp;")"</f>
        <v>기타시설
()</v>
      </c>
      <c r="J259" s="340"/>
      <c r="K259" s="340"/>
      <c r="L259" s="340"/>
      <c r="M259" s="326"/>
      <c r="N259" s="326"/>
      <c r="O259" s="326"/>
      <c r="P259" s="326"/>
      <c r="Q259" s="326"/>
      <c r="R259" s="326"/>
      <c r="S259" s="326"/>
      <c r="T259" s="326"/>
      <c r="U259" s="326"/>
      <c r="V259" s="326"/>
      <c r="W259" s="334"/>
      <c r="X259" s="334"/>
      <c r="Y259" s="334"/>
      <c r="Z259" s="334"/>
      <c r="AA259" s="334"/>
      <c r="AB259" s="334"/>
      <c r="AC259" s="425">
        <f t="shared" ref="AC259" si="395">ABS(W259-Z259)</f>
        <v>0</v>
      </c>
      <c r="AD259" s="425"/>
      <c r="AE259" s="192"/>
      <c r="AF259" s="626"/>
      <c r="AG259" s="627"/>
      <c r="AH259" s="186">
        <f t="shared" ref="AH259" si="396">IF(W259=0,1,AC259/W259)</f>
        <v>1</v>
      </c>
      <c r="AI259" s="428"/>
      <c r="AJ259" s="334"/>
      <c r="AK259" s="334"/>
      <c r="AL259" s="334"/>
      <c r="AM259" s="422"/>
      <c r="AS259" s="76"/>
      <c r="BF259" s="424">
        <f>IF($V$13="",0,SUM($BF$167:BF258)+1)</f>
        <v>0</v>
      </c>
      <c r="BG259" s="415" t="str">
        <f t="shared" ref="BG259" si="397">$D$13</f>
        <v>기타시설</v>
      </c>
      <c r="BH259" s="415"/>
      <c r="BI259" s="415"/>
      <c r="BJ259" s="415"/>
      <c r="BK259" s="415">
        <f>$V$13</f>
        <v>0</v>
      </c>
      <c r="BL259" s="415"/>
      <c r="BM259" s="415"/>
      <c r="BN259" s="415"/>
      <c r="BO259" s="413">
        <f>W259</f>
        <v>0</v>
      </c>
      <c r="BP259" s="413">
        <f>Z259</f>
        <v>0</v>
      </c>
      <c r="BQ259" s="413">
        <f t="shared" ref="BQ259" si="398">ABS(BO259-BP259)</f>
        <v>0</v>
      </c>
      <c r="BR259" s="413" t="str">
        <f t="shared" ref="BR259" si="399">IF(AF259="","",AF259)</f>
        <v/>
      </c>
      <c r="BS259" s="414">
        <f t="shared" ref="BS259" si="400">AH259</f>
        <v>1</v>
      </c>
      <c r="BT259" s="413">
        <f t="shared" ref="BT259" si="401">AJ259</f>
        <v>0</v>
      </c>
      <c r="BU259" s="413">
        <f t="shared" ref="BU259" si="402">AL259</f>
        <v>0</v>
      </c>
      <c r="CI259" s="15"/>
      <c r="CJ259" s="15"/>
      <c r="CK259" s="15"/>
      <c r="CL259" s="15"/>
      <c r="CM259" s="15"/>
      <c r="CN259" s="15"/>
      <c r="CO259" s="15"/>
      <c r="CP259" s="15"/>
    </row>
    <row r="260" spans="2:94" ht="17.100000000000001" customHeight="1">
      <c r="B260" s="19"/>
      <c r="C260" s="19"/>
      <c r="D260" s="19"/>
      <c r="E260" s="19"/>
      <c r="F260" s="19"/>
      <c r="G260" s="19"/>
      <c r="H260" s="429"/>
      <c r="I260" s="339"/>
      <c r="J260" s="340"/>
      <c r="K260" s="340"/>
      <c r="L260" s="340"/>
      <c r="M260" s="326"/>
      <c r="N260" s="326"/>
      <c r="O260" s="326"/>
      <c r="P260" s="326"/>
      <c r="Q260" s="326"/>
      <c r="R260" s="326"/>
      <c r="S260" s="326"/>
      <c r="T260" s="326"/>
      <c r="U260" s="326"/>
      <c r="V260" s="326"/>
      <c r="W260" s="334"/>
      <c r="X260" s="334"/>
      <c r="Y260" s="334"/>
      <c r="Z260" s="334"/>
      <c r="AA260" s="334"/>
      <c r="AB260" s="334"/>
      <c r="AC260" s="425"/>
      <c r="AD260" s="425"/>
      <c r="AE260" s="192"/>
      <c r="AF260" s="626"/>
      <c r="AG260" s="627"/>
      <c r="AH260" s="186"/>
      <c r="AI260" s="428"/>
      <c r="AJ260" s="334"/>
      <c r="AK260" s="334"/>
      <c r="AL260" s="334"/>
      <c r="AM260" s="422"/>
      <c r="AS260" s="60"/>
      <c r="BF260" s="424"/>
      <c r="BG260" s="415"/>
      <c r="BH260" s="415"/>
      <c r="BI260" s="415"/>
      <c r="BJ260" s="415"/>
      <c r="BK260" s="415"/>
      <c r="BL260" s="415"/>
      <c r="BM260" s="415"/>
      <c r="BN260" s="415"/>
      <c r="BO260" s="413"/>
      <c r="BP260" s="413"/>
      <c r="BQ260" s="413"/>
      <c r="BR260" s="413"/>
      <c r="BS260" s="413"/>
      <c r="BT260" s="413"/>
      <c r="BU260" s="413"/>
      <c r="CI260" s="15"/>
      <c r="CJ260" s="15"/>
      <c r="CK260" s="15"/>
      <c r="CL260" s="15"/>
      <c r="CM260" s="15"/>
      <c r="CN260" s="15"/>
      <c r="CO260" s="15"/>
      <c r="CP260" s="15"/>
    </row>
    <row r="261" spans="2:94" ht="17.100000000000001" customHeight="1">
      <c r="B261" s="19"/>
      <c r="C261" s="19"/>
      <c r="D261" s="19"/>
      <c r="E261" s="19"/>
      <c r="F261" s="19"/>
      <c r="G261" s="19"/>
      <c r="H261" s="429">
        <f>IF($AB$13="",0,SUM($H$167:H259)+1)</f>
        <v>0</v>
      </c>
      <c r="I261" s="339" t="str">
        <f>$D$13&amp;CHAR(10)&amp;"("&amp;$AB$13&amp;")"</f>
        <v>기타시설
()</v>
      </c>
      <c r="J261" s="340"/>
      <c r="K261" s="340"/>
      <c r="L261" s="340"/>
      <c r="M261" s="326"/>
      <c r="N261" s="326"/>
      <c r="O261" s="326"/>
      <c r="P261" s="326"/>
      <c r="Q261" s="326"/>
      <c r="R261" s="326"/>
      <c r="S261" s="326"/>
      <c r="T261" s="326"/>
      <c r="U261" s="326"/>
      <c r="V261" s="326"/>
      <c r="W261" s="334"/>
      <c r="X261" s="334"/>
      <c r="Y261" s="334"/>
      <c r="Z261" s="334"/>
      <c r="AA261" s="334"/>
      <c r="AB261" s="334"/>
      <c r="AC261" s="425">
        <f t="shared" ref="AC261" si="403">ABS(W261-Z261)</f>
        <v>0</v>
      </c>
      <c r="AD261" s="425"/>
      <c r="AE261" s="192"/>
      <c r="AF261" s="626"/>
      <c r="AG261" s="627"/>
      <c r="AH261" s="186">
        <f t="shared" ref="AH261" si="404">IF(W261=0,1,AC261/W261)</f>
        <v>1</v>
      </c>
      <c r="AI261" s="428"/>
      <c r="AJ261" s="334"/>
      <c r="AK261" s="334"/>
      <c r="AL261" s="334"/>
      <c r="AM261" s="422"/>
      <c r="AS261" s="76"/>
      <c r="BF261" s="424">
        <f>IF($AB$13="",0,SUM($BF$167:BF260)+1)</f>
        <v>0</v>
      </c>
      <c r="BG261" s="415" t="str">
        <f t="shared" ref="BG261" si="405">$D$13</f>
        <v>기타시설</v>
      </c>
      <c r="BH261" s="415"/>
      <c r="BI261" s="415"/>
      <c r="BJ261" s="415"/>
      <c r="BK261" s="415">
        <f>$AB$13</f>
        <v>0</v>
      </c>
      <c r="BL261" s="415"/>
      <c r="BM261" s="415"/>
      <c r="BN261" s="415"/>
      <c r="BO261" s="413">
        <f>W261</f>
        <v>0</v>
      </c>
      <c r="BP261" s="413">
        <f>Z261</f>
        <v>0</v>
      </c>
      <c r="BQ261" s="413">
        <f t="shared" ref="BQ261" si="406">ABS(BO261-BP261)</f>
        <v>0</v>
      </c>
      <c r="BR261" s="413" t="str">
        <f t="shared" ref="BR261" si="407">IF(AF261="","",AF261)</f>
        <v/>
      </c>
      <c r="BS261" s="414">
        <f t="shared" ref="BS261" si="408">AH261</f>
        <v>1</v>
      </c>
      <c r="BT261" s="413">
        <f t="shared" ref="BT261" si="409">AJ261</f>
        <v>0</v>
      </c>
      <c r="BU261" s="413">
        <f t="shared" ref="BU261" si="410">AL261</f>
        <v>0</v>
      </c>
      <c r="CI261" s="15"/>
      <c r="CJ261" s="15"/>
      <c r="CK261" s="15"/>
      <c r="CL261" s="15"/>
      <c r="CM261" s="15"/>
      <c r="CN261" s="15"/>
      <c r="CO261" s="15"/>
      <c r="CP261" s="15"/>
    </row>
    <row r="262" spans="2:94" ht="17.100000000000001" customHeight="1">
      <c r="B262" s="19"/>
      <c r="C262" s="19"/>
      <c r="D262" s="19"/>
      <c r="E262" s="19"/>
      <c r="F262" s="19"/>
      <c r="G262" s="19"/>
      <c r="H262" s="429"/>
      <c r="I262" s="339"/>
      <c r="J262" s="340"/>
      <c r="K262" s="340"/>
      <c r="L262" s="340"/>
      <c r="M262" s="326"/>
      <c r="N262" s="326"/>
      <c r="O262" s="326"/>
      <c r="P262" s="326"/>
      <c r="Q262" s="326"/>
      <c r="R262" s="326"/>
      <c r="S262" s="326"/>
      <c r="T262" s="326"/>
      <c r="U262" s="326"/>
      <c r="V262" s="326"/>
      <c r="W262" s="334"/>
      <c r="X262" s="334"/>
      <c r="Y262" s="334"/>
      <c r="Z262" s="334"/>
      <c r="AA262" s="334"/>
      <c r="AB262" s="334"/>
      <c r="AC262" s="425"/>
      <c r="AD262" s="425"/>
      <c r="AE262" s="192"/>
      <c r="AF262" s="626"/>
      <c r="AG262" s="627"/>
      <c r="AH262" s="186"/>
      <c r="AI262" s="428"/>
      <c r="AJ262" s="334"/>
      <c r="AK262" s="334"/>
      <c r="AL262" s="334"/>
      <c r="AM262" s="422"/>
      <c r="AS262" s="60"/>
      <c r="BF262" s="424"/>
      <c r="BG262" s="415"/>
      <c r="BH262" s="415"/>
      <c r="BI262" s="415"/>
      <c r="BJ262" s="415"/>
      <c r="BK262" s="415"/>
      <c r="BL262" s="415"/>
      <c r="BM262" s="415"/>
      <c r="BN262" s="415"/>
      <c r="BO262" s="413"/>
      <c r="BP262" s="413"/>
      <c r="BQ262" s="413"/>
      <c r="BR262" s="413"/>
      <c r="BS262" s="413"/>
      <c r="BT262" s="413"/>
      <c r="BU262" s="413"/>
      <c r="CI262" s="15"/>
      <c r="CJ262" s="15"/>
      <c r="CK262" s="15"/>
      <c r="CL262" s="15"/>
      <c r="CM262" s="15"/>
      <c r="CN262" s="15"/>
      <c r="CO262" s="15"/>
      <c r="CP262" s="15"/>
    </row>
    <row r="263" spans="2:94" ht="17.100000000000001" customHeight="1">
      <c r="B263" s="19"/>
      <c r="C263" s="19"/>
      <c r="D263" s="19"/>
      <c r="E263" s="19"/>
      <c r="F263" s="19"/>
      <c r="G263" s="19"/>
      <c r="H263" s="429">
        <f>IF($AH$13="",0,SUM($H$167:H261)+1)</f>
        <v>0</v>
      </c>
      <c r="I263" s="430" t="str">
        <f>$D$13&amp;CHAR(10)&amp;"("&amp;$AH$13&amp;")"</f>
        <v>기타시설
()</v>
      </c>
      <c r="J263" s="431"/>
      <c r="K263" s="431"/>
      <c r="L263" s="431"/>
      <c r="M263" s="326"/>
      <c r="N263" s="326"/>
      <c r="O263" s="326"/>
      <c r="P263" s="326"/>
      <c r="Q263" s="326"/>
      <c r="R263" s="326"/>
      <c r="S263" s="326"/>
      <c r="T263" s="326"/>
      <c r="U263" s="326"/>
      <c r="V263" s="326"/>
      <c r="W263" s="334"/>
      <c r="X263" s="334"/>
      <c r="Y263" s="334"/>
      <c r="Z263" s="334"/>
      <c r="AA263" s="334"/>
      <c r="AB263" s="334"/>
      <c r="AC263" s="475">
        <f t="shared" ref="AC263" si="411">ABS(W263-Z263)</f>
        <v>0</v>
      </c>
      <c r="AD263" s="475"/>
      <c r="AE263" s="476"/>
      <c r="AF263" s="403"/>
      <c r="AG263" s="404"/>
      <c r="AH263" s="418">
        <f t="shared" ref="AH263" si="412">IF(W263=0,1,AC263/W263)</f>
        <v>1</v>
      </c>
      <c r="AI263" s="419"/>
      <c r="AJ263" s="334"/>
      <c r="AK263" s="334"/>
      <c r="AL263" s="334"/>
      <c r="AM263" s="422"/>
      <c r="AS263" s="76"/>
      <c r="BF263" s="424">
        <f>IF($AH$13="",0,SUM($BF$167:BF262)+1)</f>
        <v>0</v>
      </c>
      <c r="BG263" s="415" t="str">
        <f t="shared" ref="BG263" si="413">$D$13</f>
        <v>기타시설</v>
      </c>
      <c r="BH263" s="415"/>
      <c r="BI263" s="415"/>
      <c r="BJ263" s="415"/>
      <c r="BK263" s="415">
        <f>$AH$13</f>
        <v>0</v>
      </c>
      <c r="BL263" s="415"/>
      <c r="BM263" s="415"/>
      <c r="BN263" s="415"/>
      <c r="BO263" s="413">
        <f>W263</f>
        <v>0</v>
      </c>
      <c r="BP263" s="413">
        <f>Z263</f>
        <v>0</v>
      </c>
      <c r="BQ263" s="413">
        <f t="shared" ref="BQ263" si="414">ABS(BO263-BP263)</f>
        <v>0</v>
      </c>
      <c r="BR263" s="413" t="str">
        <f t="shared" ref="BR263" si="415">IF(AF263="","",AF263)</f>
        <v/>
      </c>
      <c r="BS263" s="414">
        <f t="shared" ref="BS263" si="416">AH263</f>
        <v>1</v>
      </c>
      <c r="BT263" s="413">
        <f t="shared" ref="BT263" si="417">AJ263</f>
        <v>0</v>
      </c>
      <c r="BU263" s="413">
        <f t="shared" ref="BU263" si="418">AL263</f>
        <v>0</v>
      </c>
      <c r="CI263" s="15"/>
      <c r="CJ263" s="15"/>
      <c r="CK263" s="15"/>
      <c r="CL263" s="15"/>
      <c r="CM263" s="15"/>
      <c r="CN263" s="15"/>
      <c r="CO263" s="15"/>
      <c r="CP263" s="15"/>
    </row>
    <row r="264" spans="2:94" ht="17.100000000000001" customHeight="1" thickBot="1">
      <c r="B264" s="19"/>
      <c r="C264" s="19"/>
      <c r="D264" s="19"/>
      <c r="E264" s="19"/>
      <c r="F264" s="19"/>
      <c r="G264" s="19"/>
      <c r="H264" s="429"/>
      <c r="I264" s="341"/>
      <c r="J264" s="342"/>
      <c r="K264" s="342"/>
      <c r="L264" s="342"/>
      <c r="M264" s="432"/>
      <c r="N264" s="432"/>
      <c r="O264" s="432"/>
      <c r="P264" s="432"/>
      <c r="Q264" s="432"/>
      <c r="R264" s="432"/>
      <c r="S264" s="432"/>
      <c r="T264" s="432"/>
      <c r="U264" s="432"/>
      <c r="V264" s="432"/>
      <c r="W264" s="421"/>
      <c r="X264" s="421"/>
      <c r="Y264" s="421"/>
      <c r="Z264" s="421"/>
      <c r="AA264" s="421"/>
      <c r="AB264" s="421"/>
      <c r="AC264" s="426"/>
      <c r="AD264" s="426"/>
      <c r="AE264" s="195"/>
      <c r="AF264" s="405"/>
      <c r="AG264" s="406"/>
      <c r="AH264" s="188"/>
      <c r="AI264" s="420"/>
      <c r="AJ264" s="421"/>
      <c r="AK264" s="421"/>
      <c r="AL264" s="421"/>
      <c r="AM264" s="423"/>
      <c r="AS264" s="60"/>
      <c r="BF264" s="424"/>
      <c r="BG264" s="415"/>
      <c r="BH264" s="415"/>
      <c r="BI264" s="415"/>
      <c r="BJ264" s="415"/>
      <c r="BK264" s="415"/>
      <c r="BL264" s="415"/>
      <c r="BM264" s="415"/>
      <c r="BN264" s="415"/>
      <c r="BO264" s="413"/>
      <c r="BP264" s="413"/>
      <c r="BQ264" s="413"/>
      <c r="BR264" s="413"/>
      <c r="BS264" s="413"/>
      <c r="BT264" s="413"/>
      <c r="BU264" s="413"/>
      <c r="CI264" s="15"/>
      <c r="CJ264" s="15"/>
      <c r="CK264" s="15"/>
      <c r="CL264" s="15"/>
      <c r="CM264" s="15"/>
      <c r="CN264" s="15"/>
      <c r="CO264" s="15"/>
      <c r="CP264" s="15"/>
    </row>
    <row r="265" spans="2:94" ht="17.100000000000001" customHeight="1">
      <c r="B265" s="19"/>
      <c r="C265" s="19"/>
      <c r="D265" s="19"/>
      <c r="E265" s="19"/>
      <c r="F265" s="19"/>
      <c r="G265" s="19"/>
      <c r="H265" s="486"/>
      <c r="I265" s="430" t="s">
        <v>170</v>
      </c>
      <c r="J265" s="431"/>
      <c r="K265" s="431"/>
      <c r="L265" s="431"/>
      <c r="M265" s="459"/>
      <c r="N265" s="459"/>
      <c r="O265" s="459"/>
      <c r="P265" s="459"/>
      <c r="Q265" s="459"/>
      <c r="R265" s="459"/>
      <c r="S265" s="459"/>
      <c r="T265" s="459"/>
      <c r="U265" s="459"/>
      <c r="V265" s="459"/>
      <c r="W265" s="365">
        <v>0</v>
      </c>
      <c r="X265" s="365"/>
      <c r="Y265" s="365"/>
      <c r="Z265" s="365">
        <v>2</v>
      </c>
      <c r="AA265" s="365"/>
      <c r="AB265" s="365"/>
      <c r="AC265" s="475">
        <f>ABS(W265-Z265)</f>
        <v>2</v>
      </c>
      <c r="AD265" s="475"/>
      <c r="AE265" s="475"/>
      <c r="AF265" s="475" t="s">
        <v>172</v>
      </c>
      <c r="AG265" s="475"/>
      <c r="AH265" s="419">
        <f>IF(W265=0,1,AC265/W265)</f>
        <v>1</v>
      </c>
      <c r="AI265" s="419"/>
      <c r="AJ265" s="459"/>
      <c r="AK265" s="459"/>
      <c r="AL265" s="459"/>
      <c r="AM265" s="460"/>
      <c r="AS265" s="76"/>
      <c r="BE265" t="s">
        <v>174</v>
      </c>
      <c r="BF265" s="424">
        <f>IF(Z265="",0,SUM($BF$167:BF264)+1)</f>
        <v>2048</v>
      </c>
      <c r="BG265" s="415" t="str">
        <f>IF(Z265="","-",I265)</f>
        <v>고용창출</v>
      </c>
      <c r="BH265" s="415"/>
      <c r="BI265" s="415"/>
      <c r="BJ265" s="415"/>
      <c r="BK265" s="415" t="s">
        <v>176</v>
      </c>
      <c r="BL265" s="415"/>
      <c r="BM265" s="415"/>
      <c r="BN265" s="415"/>
      <c r="BO265" s="413">
        <f>W265</f>
        <v>0</v>
      </c>
      <c r="BP265" s="413">
        <f>Z265</f>
        <v>2</v>
      </c>
      <c r="BQ265" s="413">
        <f t="shared" ref="BQ265" si="419">ABS(BO265-BP265)</f>
        <v>2</v>
      </c>
      <c r="BR265" s="413" t="str">
        <f t="shared" ref="BR265" si="420">AF265</f>
        <v>명</v>
      </c>
      <c r="BS265" s="414">
        <f t="shared" ref="BS265:BS267" si="421">AH265</f>
        <v>1</v>
      </c>
      <c r="BT265" s="413"/>
      <c r="BU265" s="413"/>
      <c r="CI265" s="15"/>
      <c r="CJ265" s="15"/>
      <c r="CK265" s="15"/>
      <c r="CL265" s="15"/>
      <c r="CM265" s="15"/>
      <c r="CN265" s="15"/>
      <c r="CO265" s="15"/>
      <c r="CP265" s="15"/>
    </row>
    <row r="266" spans="2:94" ht="17.100000000000001" customHeight="1">
      <c r="B266" s="19"/>
      <c r="C266" s="19"/>
      <c r="D266" s="19"/>
      <c r="E266" s="19"/>
      <c r="F266" s="19"/>
      <c r="G266" s="19"/>
      <c r="H266" s="486"/>
      <c r="I266" s="339"/>
      <c r="J266" s="340"/>
      <c r="K266" s="340"/>
      <c r="L266" s="340"/>
      <c r="M266" s="461"/>
      <c r="N266" s="461"/>
      <c r="O266" s="461"/>
      <c r="P266" s="461"/>
      <c r="Q266" s="461"/>
      <c r="R266" s="461"/>
      <c r="S266" s="461"/>
      <c r="T266" s="461"/>
      <c r="U266" s="461"/>
      <c r="V266" s="461"/>
      <c r="W266" s="334"/>
      <c r="X266" s="334"/>
      <c r="Y266" s="334"/>
      <c r="Z266" s="334"/>
      <c r="AA266" s="334"/>
      <c r="AB266" s="334"/>
      <c r="AC266" s="425"/>
      <c r="AD266" s="425"/>
      <c r="AE266" s="425"/>
      <c r="AF266" s="425"/>
      <c r="AG266" s="425"/>
      <c r="AH266" s="428"/>
      <c r="AI266" s="428"/>
      <c r="AJ266" s="461"/>
      <c r="AK266" s="461"/>
      <c r="AL266" s="461"/>
      <c r="AM266" s="462"/>
      <c r="AS266" s="76"/>
      <c r="BF266" s="424"/>
      <c r="BG266" s="415"/>
      <c r="BH266" s="415"/>
      <c r="BI266" s="415"/>
      <c r="BJ266" s="415"/>
      <c r="BK266" s="415"/>
      <c r="BL266" s="415"/>
      <c r="BM266" s="415"/>
      <c r="BN266" s="415"/>
      <c r="BO266" s="413"/>
      <c r="BP266" s="413"/>
      <c r="BQ266" s="413"/>
      <c r="BR266" s="413"/>
      <c r="BS266" s="413"/>
      <c r="BT266" s="413"/>
      <c r="BU266" s="413"/>
      <c r="CI266" s="15"/>
      <c r="CJ266" s="15"/>
      <c r="CK266" s="15"/>
      <c r="CL266" s="15"/>
      <c r="CM266" s="15"/>
      <c r="CN266" s="15"/>
      <c r="CO266" s="15"/>
      <c r="CP266" s="15"/>
    </row>
    <row r="267" spans="2:94" ht="17.100000000000001" customHeight="1">
      <c r="B267" s="19"/>
      <c r="C267" s="19"/>
      <c r="D267" s="19"/>
      <c r="E267" s="19"/>
      <c r="F267" s="19"/>
      <c r="G267" s="19"/>
      <c r="H267" s="486"/>
      <c r="I267" s="339" t="s">
        <v>171</v>
      </c>
      <c r="J267" s="340"/>
      <c r="K267" s="340"/>
      <c r="L267" s="340"/>
      <c r="M267" s="461"/>
      <c r="N267" s="461"/>
      <c r="O267" s="461"/>
      <c r="P267" s="461"/>
      <c r="Q267" s="461"/>
      <c r="R267" s="461"/>
      <c r="S267" s="461"/>
      <c r="T267" s="461"/>
      <c r="U267" s="461"/>
      <c r="V267" s="461"/>
      <c r="W267" s="334">
        <v>0</v>
      </c>
      <c r="X267" s="334"/>
      <c r="Y267" s="334"/>
      <c r="Z267" s="487">
        <v>407697</v>
      </c>
      <c r="AA267" s="334"/>
      <c r="AB267" s="334"/>
      <c r="AC267" s="425">
        <f>ABS(W267-Z267)</f>
        <v>407697</v>
      </c>
      <c r="AD267" s="425"/>
      <c r="AE267" s="425"/>
      <c r="AF267" s="425" t="s">
        <v>173</v>
      </c>
      <c r="AG267" s="425"/>
      <c r="AH267" s="466">
        <f>IF(W267=0,1,AC267/W267)</f>
        <v>1</v>
      </c>
      <c r="AI267" s="467"/>
      <c r="AJ267" s="461"/>
      <c r="AK267" s="461"/>
      <c r="AL267" s="461"/>
      <c r="AM267" s="462"/>
      <c r="AS267" s="76"/>
      <c r="BE267" t="s">
        <v>175</v>
      </c>
      <c r="BF267" s="424">
        <f>IF(Z267="",0,SUM($BF$167:BF266)+1)</f>
        <v>4096</v>
      </c>
      <c r="BG267" s="415" t="str">
        <f>IF(Z267="","-",I267)</f>
        <v>경제적효과</v>
      </c>
      <c r="BH267" s="415"/>
      <c r="BI267" s="415"/>
      <c r="BJ267" s="415"/>
      <c r="BK267" s="415" t="s">
        <v>176</v>
      </c>
      <c r="BL267" s="415"/>
      <c r="BM267" s="415"/>
      <c r="BN267" s="415"/>
      <c r="BO267" s="413">
        <f>W267</f>
        <v>0</v>
      </c>
      <c r="BP267" s="413">
        <f>Z267</f>
        <v>407697</v>
      </c>
      <c r="BQ267" s="413">
        <f t="shared" ref="BQ267" si="422">ABS(BO267-BP267)</f>
        <v>407697</v>
      </c>
      <c r="BR267" s="413" t="str">
        <f t="shared" ref="BR267" si="423">AF267</f>
        <v>천원/년</v>
      </c>
      <c r="BS267" s="414">
        <f t="shared" si="421"/>
        <v>1</v>
      </c>
      <c r="BT267" s="413"/>
      <c r="BU267" s="413"/>
      <c r="CI267" s="15"/>
      <c r="CJ267" s="15"/>
      <c r="CK267" s="15"/>
      <c r="CL267" s="15"/>
      <c r="CM267" s="15"/>
      <c r="CN267" s="15"/>
      <c r="CO267" s="15"/>
      <c r="CP267" s="15"/>
    </row>
    <row r="268" spans="2:94" ht="17.100000000000001" customHeight="1" thickBot="1">
      <c r="B268" s="19"/>
      <c r="C268" s="19"/>
      <c r="D268" s="19"/>
      <c r="E268" s="19"/>
      <c r="F268" s="19"/>
      <c r="G268" s="19"/>
      <c r="H268" s="486"/>
      <c r="I268" s="341"/>
      <c r="J268" s="342"/>
      <c r="K268" s="342"/>
      <c r="L268" s="342"/>
      <c r="M268" s="470"/>
      <c r="N268" s="470"/>
      <c r="O268" s="470"/>
      <c r="P268" s="470"/>
      <c r="Q268" s="470"/>
      <c r="R268" s="470"/>
      <c r="S268" s="470"/>
      <c r="T268" s="470"/>
      <c r="U268" s="470"/>
      <c r="V268" s="470"/>
      <c r="W268" s="421"/>
      <c r="X268" s="421"/>
      <c r="Y268" s="421"/>
      <c r="Z268" s="421"/>
      <c r="AA268" s="421"/>
      <c r="AB268" s="421"/>
      <c r="AC268" s="426"/>
      <c r="AD268" s="426"/>
      <c r="AE268" s="426"/>
      <c r="AF268" s="426"/>
      <c r="AG268" s="426"/>
      <c r="AH268" s="468"/>
      <c r="AI268" s="469"/>
      <c r="AJ268" s="470"/>
      <c r="AK268" s="470"/>
      <c r="AL268" s="470"/>
      <c r="AM268" s="471"/>
      <c r="AS268" s="60"/>
      <c r="BF268" s="424"/>
      <c r="BG268" s="415"/>
      <c r="BH268" s="415"/>
      <c r="BI268" s="415"/>
      <c r="BJ268" s="415"/>
      <c r="BK268" s="415"/>
      <c r="BL268" s="415"/>
      <c r="BM268" s="415"/>
      <c r="BN268" s="415"/>
      <c r="BO268" s="413"/>
      <c r="BP268" s="413"/>
      <c r="BQ268" s="413"/>
      <c r="BR268" s="413"/>
      <c r="BS268" s="413"/>
      <c r="BT268" s="413"/>
      <c r="BU268" s="413"/>
      <c r="CI268" s="15"/>
      <c r="CJ268" s="15"/>
      <c r="CK268" s="15"/>
      <c r="CL268" s="15"/>
      <c r="CM268" s="15"/>
      <c r="CN268" s="15"/>
      <c r="CO268" s="15"/>
      <c r="CP268" s="15"/>
    </row>
    <row r="269" spans="2:94" ht="17.100000000000001" customHeight="1" thickBot="1">
      <c r="B269" s="19"/>
      <c r="C269" s="19"/>
      <c r="D269" s="19"/>
      <c r="E269" s="19"/>
      <c r="F269" s="19"/>
      <c r="G269" s="19"/>
      <c r="H269" s="19"/>
      <c r="I269" s="36"/>
      <c r="J269" s="36"/>
      <c r="K269" s="36"/>
      <c r="L269" s="36"/>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S269" s="60"/>
    </row>
    <row r="270" spans="2:94" ht="17.100000000000001" customHeight="1" thickBot="1">
      <c r="B270" s="19"/>
      <c r="C270" s="19" t="s">
        <v>29</v>
      </c>
      <c r="D270" s="19"/>
      <c r="E270" s="19"/>
      <c r="F270" s="19"/>
      <c r="G270" s="19"/>
      <c r="H270" s="331" t="s">
        <v>574</v>
      </c>
      <c r="I270" s="332"/>
      <c r="J270" s="332"/>
      <c r="K270" s="332"/>
      <c r="L270" s="332"/>
      <c r="M270" s="332"/>
      <c r="N270" s="332"/>
      <c r="O270" s="332"/>
      <c r="P270" s="332"/>
      <c r="Q270" s="332"/>
      <c r="R270" s="332"/>
      <c r="S270" s="332"/>
      <c r="T270" s="332"/>
      <c r="U270" s="332"/>
      <c r="V270" s="332"/>
      <c r="W270" s="332"/>
      <c r="X270" s="332"/>
      <c r="Y270" s="332"/>
      <c r="Z270" s="332"/>
      <c r="AA270" s="332"/>
      <c r="AB270" s="332"/>
      <c r="AC270" s="332"/>
      <c r="AD270" s="333"/>
      <c r="AE270" s="19"/>
      <c r="AF270" s="19"/>
      <c r="AG270" s="19"/>
      <c r="AH270" s="19"/>
      <c r="AI270" s="19"/>
      <c r="AJ270" s="19"/>
      <c r="AK270" s="19"/>
      <c r="AL270" s="19"/>
      <c r="AM270" s="19"/>
      <c r="AS270" s="62"/>
      <c r="BF270" s="1" t="s">
        <v>178</v>
      </c>
    </row>
    <row r="271" spans="2:94" ht="17.100000000000001" customHeight="1" thickBot="1">
      <c r="B271" s="19"/>
      <c r="C271" s="19"/>
      <c r="D271" s="19"/>
      <c r="E271" s="19"/>
      <c r="F271" s="19"/>
      <c r="G271" s="19"/>
      <c r="H271" s="37"/>
      <c r="I271" s="37"/>
      <c r="J271" s="37"/>
      <c r="K271" s="37"/>
      <c r="L271" s="37"/>
      <c r="M271" s="37"/>
      <c r="N271" s="37"/>
      <c r="O271" s="37"/>
      <c r="P271" s="37"/>
      <c r="Q271" s="37"/>
      <c r="R271" s="37"/>
      <c r="S271" s="37"/>
      <c r="T271" s="37"/>
      <c r="U271" s="37"/>
      <c r="V271" s="37"/>
      <c r="W271" s="37"/>
      <c r="X271" s="37"/>
      <c r="Y271" s="37"/>
      <c r="Z271" s="37"/>
      <c r="AA271" s="37"/>
      <c r="AB271" s="37"/>
      <c r="AC271" s="37"/>
      <c r="AD271" s="19"/>
      <c r="AE271" s="19"/>
      <c r="AF271" s="19"/>
      <c r="AG271" s="19"/>
      <c r="AH271" s="19"/>
      <c r="AI271" s="19"/>
      <c r="AJ271" s="19"/>
      <c r="AK271" s="19"/>
      <c r="AL271" s="19"/>
      <c r="AM271" s="19"/>
      <c r="AS271" s="77"/>
      <c r="BF271">
        <f>MAX(BF167:BF268)</f>
        <v>4096</v>
      </c>
    </row>
    <row r="272" spans="2:94" ht="17.100000000000001" customHeight="1" thickBot="1">
      <c r="B272" s="19"/>
      <c r="C272" s="19" t="s">
        <v>30</v>
      </c>
      <c r="D272" s="19"/>
      <c r="E272" s="19"/>
      <c r="F272" s="20"/>
      <c r="G272" s="19"/>
      <c r="H272" s="331" t="s">
        <v>574</v>
      </c>
      <c r="I272" s="332"/>
      <c r="J272" s="332"/>
      <c r="K272" s="332"/>
      <c r="L272" s="332"/>
      <c r="M272" s="332"/>
      <c r="N272" s="332"/>
      <c r="O272" s="332"/>
      <c r="P272" s="332"/>
      <c r="Q272" s="332"/>
      <c r="R272" s="332"/>
      <c r="S272" s="332"/>
      <c r="T272" s="332"/>
      <c r="U272" s="332"/>
      <c r="V272" s="332"/>
      <c r="W272" s="332"/>
      <c r="X272" s="332"/>
      <c r="Y272" s="332"/>
      <c r="Z272" s="332"/>
      <c r="AA272" s="332"/>
      <c r="AB272" s="332"/>
      <c r="AC272" s="332"/>
      <c r="AD272" s="333"/>
      <c r="AE272" s="19"/>
      <c r="AF272" s="19"/>
      <c r="AG272" s="19"/>
      <c r="AH272" s="19"/>
      <c r="AI272" s="19"/>
      <c r="AJ272" s="19"/>
      <c r="AK272" s="19"/>
      <c r="AL272" s="19"/>
      <c r="AM272" s="19"/>
      <c r="AS272" s="77"/>
    </row>
    <row r="273" spans="2:45" ht="17.100000000000001" customHeight="1" thickBot="1">
      <c r="B273" s="19"/>
      <c r="C273" s="19"/>
      <c r="D273" s="19"/>
      <c r="E273" s="19"/>
      <c r="F273" s="19"/>
      <c r="G273" s="19"/>
      <c r="H273" s="38"/>
      <c r="I273" s="38"/>
      <c r="J273" s="39"/>
      <c r="K273" s="39"/>
      <c r="L273" s="39"/>
      <c r="M273" s="39"/>
      <c r="N273" s="39"/>
      <c r="O273" s="39"/>
      <c r="P273" s="39"/>
      <c r="Q273" s="39"/>
      <c r="R273" s="40"/>
      <c r="S273" s="38"/>
      <c r="T273" s="38"/>
      <c r="U273" s="38"/>
      <c r="V273" s="38"/>
      <c r="W273" s="38"/>
      <c r="X273" s="38"/>
      <c r="Y273" s="41"/>
      <c r="Z273" s="41"/>
      <c r="AA273" s="41"/>
      <c r="AB273" s="41"/>
      <c r="AC273" s="41"/>
      <c r="AD273" s="41"/>
      <c r="AE273" s="19"/>
      <c r="AF273" s="19"/>
      <c r="AG273" s="19"/>
      <c r="AH273" s="19"/>
      <c r="AI273" s="19"/>
      <c r="AJ273" s="19"/>
      <c r="AK273" s="19"/>
      <c r="AL273" s="19"/>
      <c r="AM273" s="19"/>
      <c r="AS273" s="77"/>
    </row>
    <row r="274" spans="2:45" ht="17.100000000000001" customHeight="1" thickBot="1">
      <c r="B274" s="19"/>
      <c r="C274" s="19" t="s">
        <v>31</v>
      </c>
      <c r="D274" s="19"/>
      <c r="E274" s="19"/>
      <c r="F274" s="19"/>
      <c r="G274" s="19"/>
      <c r="H274" s="331" t="s">
        <v>574</v>
      </c>
      <c r="I274" s="332"/>
      <c r="J274" s="332"/>
      <c r="K274" s="332"/>
      <c r="L274" s="332"/>
      <c r="M274" s="332"/>
      <c r="N274" s="332"/>
      <c r="O274" s="332"/>
      <c r="P274" s="332"/>
      <c r="Q274" s="332"/>
      <c r="R274" s="332"/>
      <c r="S274" s="332"/>
      <c r="T274" s="332"/>
      <c r="U274" s="332"/>
      <c r="V274" s="332"/>
      <c r="W274" s="332"/>
      <c r="X274" s="332"/>
      <c r="Y274" s="332"/>
      <c r="Z274" s="332"/>
      <c r="AA274" s="332"/>
      <c r="AB274" s="332"/>
      <c r="AC274" s="332"/>
      <c r="AD274" s="333"/>
      <c r="AE274" s="19"/>
      <c r="AF274" s="19"/>
      <c r="AG274" s="19"/>
      <c r="AH274" s="19"/>
      <c r="AI274" s="19"/>
      <c r="AJ274" s="19"/>
      <c r="AK274" s="19"/>
      <c r="AL274" s="19"/>
      <c r="AM274" s="19"/>
      <c r="AS274" s="61"/>
    </row>
    <row r="275" spans="2:45" ht="17.100000000000001" customHeight="1" thickBot="1">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S275" s="77"/>
    </row>
    <row r="276" spans="2:45" ht="17.100000000000001" customHeight="1" thickBot="1">
      <c r="B276" s="19"/>
      <c r="C276" s="19" t="s">
        <v>32</v>
      </c>
      <c r="D276" s="19"/>
      <c r="E276" s="19"/>
      <c r="F276" s="19"/>
      <c r="G276" s="19"/>
      <c r="H276" s="331" t="s">
        <v>574</v>
      </c>
      <c r="I276" s="332"/>
      <c r="J276" s="332"/>
      <c r="K276" s="332"/>
      <c r="L276" s="332"/>
      <c r="M276" s="332"/>
      <c r="N276" s="332"/>
      <c r="O276" s="332"/>
      <c r="P276" s="332"/>
      <c r="Q276" s="332"/>
      <c r="R276" s="332"/>
      <c r="S276" s="332"/>
      <c r="T276" s="332"/>
      <c r="U276" s="332"/>
      <c r="V276" s="332"/>
      <c r="W276" s="332"/>
      <c r="X276" s="332"/>
      <c r="Y276" s="332"/>
      <c r="Z276" s="332"/>
      <c r="AA276" s="332"/>
      <c r="AB276" s="332"/>
      <c r="AC276" s="332"/>
      <c r="AD276" s="333"/>
      <c r="AE276" s="19"/>
      <c r="AF276" s="19"/>
      <c r="AG276" s="19"/>
      <c r="AH276" s="19"/>
      <c r="AI276" s="19"/>
      <c r="AJ276" s="19"/>
      <c r="AK276" s="19"/>
      <c r="AL276" s="19"/>
      <c r="AM276" s="19"/>
      <c r="AS276" s="77"/>
    </row>
    <row r="277" spans="2:45" ht="17.100000000000001" customHeight="1" thickBot="1">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S277" s="78"/>
    </row>
    <row r="278" spans="2:45" ht="17.100000000000001" customHeight="1" thickBot="1">
      <c r="B278" s="19"/>
      <c r="C278" s="19" t="s">
        <v>33</v>
      </c>
      <c r="D278" s="19"/>
      <c r="E278" s="19"/>
      <c r="F278" s="19"/>
      <c r="G278" s="19"/>
      <c r="H278" s="331" t="s">
        <v>574</v>
      </c>
      <c r="I278" s="332"/>
      <c r="J278" s="332"/>
      <c r="K278" s="332"/>
      <c r="L278" s="332"/>
      <c r="M278" s="332"/>
      <c r="N278" s="332"/>
      <c r="O278" s="332"/>
      <c r="P278" s="332"/>
      <c r="Q278" s="332"/>
      <c r="R278" s="332"/>
      <c r="S278" s="332"/>
      <c r="T278" s="332"/>
      <c r="U278" s="332"/>
      <c r="V278" s="332"/>
      <c r="W278" s="332"/>
      <c r="X278" s="332"/>
      <c r="Y278" s="332"/>
      <c r="Z278" s="332"/>
      <c r="AA278" s="332"/>
      <c r="AB278" s="332"/>
      <c r="AC278" s="332"/>
      <c r="AD278" s="333"/>
      <c r="AE278" s="19"/>
      <c r="AF278" s="19"/>
      <c r="AG278" s="19"/>
      <c r="AH278" s="19"/>
      <c r="AI278" s="19"/>
      <c r="AJ278" s="19"/>
      <c r="AK278" s="19"/>
      <c r="AL278" s="19"/>
      <c r="AM278" s="19"/>
      <c r="AS278" s="77"/>
    </row>
    <row r="279" spans="2:45" ht="17.100000000000001" customHeight="1" thickBot="1">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S279" s="62"/>
    </row>
    <row r="280" spans="2:45" ht="17.100000000000001" customHeight="1" thickBot="1">
      <c r="B280" s="19"/>
      <c r="C280" s="19" t="s">
        <v>34</v>
      </c>
      <c r="D280" s="19"/>
      <c r="E280" s="19"/>
      <c r="F280" s="19"/>
      <c r="G280" s="19"/>
      <c r="H280" s="331" t="s">
        <v>574</v>
      </c>
      <c r="I280" s="332"/>
      <c r="J280" s="332"/>
      <c r="K280" s="332"/>
      <c r="L280" s="332"/>
      <c r="M280" s="332"/>
      <c r="N280" s="332"/>
      <c r="O280" s="332"/>
      <c r="P280" s="332"/>
      <c r="Q280" s="332"/>
      <c r="R280" s="332"/>
      <c r="S280" s="332"/>
      <c r="T280" s="332"/>
      <c r="U280" s="332"/>
      <c r="V280" s="332"/>
      <c r="W280" s="332"/>
      <c r="X280" s="332"/>
      <c r="Y280" s="332"/>
      <c r="Z280" s="332"/>
      <c r="AA280" s="332"/>
      <c r="AB280" s="332"/>
      <c r="AC280" s="332"/>
      <c r="AD280" s="333"/>
      <c r="AE280" s="19"/>
      <c r="AF280" s="19"/>
      <c r="AG280" s="19"/>
      <c r="AH280" s="19"/>
      <c r="AI280" s="19"/>
      <c r="AJ280" s="19"/>
      <c r="AK280" s="19"/>
      <c r="AL280" s="19"/>
      <c r="AM280" s="19"/>
    </row>
    <row r="281" spans="2:45" ht="17.100000000000001" customHeigh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row>
    <row r="282" spans="2:45" ht="17.25" thickBot="1">
      <c r="B282" s="56" t="s">
        <v>252</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row>
    <row r="283" spans="2:45" ht="17.25" thickBot="1">
      <c r="B283" s="19"/>
      <c r="C283" s="19" t="s">
        <v>35</v>
      </c>
      <c r="D283" s="19"/>
      <c r="E283" s="19"/>
      <c r="F283" s="19"/>
      <c r="G283" s="19"/>
      <c r="H283" s="664" t="str">
        <f>H15</f>
        <v>자동차시트 폼패드성형공정 고효율온조시스템의 ESG경영화</v>
      </c>
      <c r="I283" s="665"/>
      <c r="J283" s="665"/>
      <c r="K283" s="665"/>
      <c r="L283" s="665"/>
      <c r="M283" s="665"/>
      <c r="N283" s="665"/>
      <c r="O283" s="665"/>
      <c r="P283" s="665"/>
      <c r="Q283" s="665"/>
      <c r="R283" s="665"/>
      <c r="S283" s="665"/>
      <c r="T283" s="665"/>
      <c r="U283" s="665"/>
      <c r="V283" s="665"/>
      <c r="W283" s="665"/>
      <c r="X283" s="665"/>
      <c r="Y283" s="665"/>
      <c r="Z283" s="665"/>
      <c r="AA283" s="665"/>
      <c r="AB283" s="665"/>
      <c r="AC283" s="665"/>
      <c r="AD283" s="666"/>
      <c r="AE283" s="42"/>
      <c r="AF283" s="42"/>
      <c r="AG283" s="42"/>
      <c r="AH283" s="42"/>
      <c r="AI283" s="42"/>
      <c r="AJ283" s="42"/>
      <c r="AK283" s="42"/>
      <c r="AL283" s="19"/>
      <c r="AM283" s="19"/>
    </row>
    <row r="284" spans="2:45" ht="17.25"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S284" s="62"/>
    </row>
    <row r="285" spans="2:45" ht="16.5" customHeight="1">
      <c r="B285" s="19"/>
      <c r="C285" s="19" t="s">
        <v>36</v>
      </c>
      <c r="D285" s="19"/>
      <c r="E285" s="19"/>
      <c r="F285" s="19"/>
      <c r="G285" s="19"/>
      <c r="H285" s="427" t="s">
        <v>56</v>
      </c>
      <c r="I285" s="286"/>
      <c r="J285" s="286" t="s">
        <v>37</v>
      </c>
      <c r="K285" s="286"/>
      <c r="L285" s="286"/>
      <c r="M285" s="289" t="s">
        <v>60</v>
      </c>
      <c r="N285" s="286"/>
      <c r="O285" s="286"/>
      <c r="P285" s="286"/>
      <c r="Q285" s="289" t="s">
        <v>58</v>
      </c>
      <c r="R285" s="286"/>
      <c r="S285" s="286"/>
      <c r="T285" s="286"/>
      <c r="U285" s="289" t="s">
        <v>59</v>
      </c>
      <c r="V285" s="286"/>
      <c r="W285" s="286"/>
      <c r="X285" s="286"/>
      <c r="Y285" s="289" t="s">
        <v>57</v>
      </c>
      <c r="Z285" s="286"/>
      <c r="AA285" s="286" t="s">
        <v>38</v>
      </c>
      <c r="AB285" s="286"/>
      <c r="AC285" s="286"/>
      <c r="AD285" s="303"/>
      <c r="AE285" s="19"/>
      <c r="AF285" s="19"/>
      <c r="AG285" s="19"/>
      <c r="AH285" s="19"/>
      <c r="AI285" s="19"/>
      <c r="AJ285" s="19"/>
      <c r="AK285" s="19"/>
      <c r="AL285" s="19"/>
      <c r="AM285" s="19"/>
      <c r="AS285" s="62"/>
    </row>
    <row r="286" spans="2:45" ht="16.5" customHeight="1">
      <c r="B286" s="19"/>
      <c r="C286" s="19"/>
      <c r="D286" s="19"/>
      <c r="E286" s="19"/>
      <c r="F286" s="19"/>
      <c r="G286" s="19"/>
      <c r="H286" s="287"/>
      <c r="I286" s="288"/>
      <c r="J286" s="288"/>
      <c r="K286" s="288"/>
      <c r="L286" s="288"/>
      <c r="M286" s="288"/>
      <c r="N286" s="288"/>
      <c r="O286" s="288"/>
      <c r="P286" s="288"/>
      <c r="Q286" s="288"/>
      <c r="R286" s="288"/>
      <c r="S286" s="288"/>
      <c r="T286" s="288"/>
      <c r="U286" s="288"/>
      <c r="V286" s="288"/>
      <c r="W286" s="288"/>
      <c r="X286" s="288"/>
      <c r="Y286" s="288"/>
      <c r="Z286" s="288"/>
      <c r="AA286" s="288" t="s">
        <v>39</v>
      </c>
      <c r="AB286" s="288"/>
      <c r="AC286" s="288" t="s">
        <v>40</v>
      </c>
      <c r="AD286" s="304"/>
      <c r="AE286" s="42"/>
      <c r="AF286" s="42"/>
      <c r="AG286" s="42"/>
      <c r="AH286" s="42"/>
      <c r="AI286" s="42"/>
      <c r="AJ286" s="42"/>
      <c r="AK286" s="42"/>
      <c r="AL286" s="43"/>
      <c r="AM286" s="43"/>
      <c r="AN286" s="12"/>
      <c r="AO286" s="12"/>
      <c r="AP286" s="12" t="s">
        <v>139</v>
      </c>
      <c r="AQ286" s="12"/>
      <c r="AR286" s="12"/>
      <c r="AS286" s="79"/>
    </row>
    <row r="287" spans="2:45" ht="16.5" customHeight="1">
      <c r="B287" s="19"/>
      <c r="C287" s="19"/>
      <c r="D287" s="19"/>
      <c r="E287" s="19"/>
      <c r="F287" s="19"/>
      <c r="G287" s="19"/>
      <c r="H287" s="321" t="str">
        <f>BW167</f>
        <v>온실가스 저감</v>
      </c>
      <c r="I287" s="263"/>
      <c r="J287" s="323" t="str">
        <f>$BX$167</f>
        <v>폼패드 성형공정 온조기 히터시설</v>
      </c>
      <c r="K287" s="323"/>
      <c r="L287" s="323"/>
      <c r="M287" s="263" t="str">
        <f>BY167 &amp; CB167</f>
        <v>1558.7tCO2eq/년
(3392928kWh/년)</v>
      </c>
      <c r="N287" s="263"/>
      <c r="O287" s="263"/>
      <c r="P287" s="263"/>
      <c r="Q287" s="263" t="str">
        <f>BZ167 &amp; CB167</f>
        <v>1428.8tCO2eq/년
(3110184kWh/년)</v>
      </c>
      <c r="R287" s="263"/>
      <c r="S287" s="263"/>
      <c r="T287" s="263"/>
      <c r="U287" s="263" t="str">
        <f>CA167 &amp; CB167</f>
        <v>129.9tCO2eq/년
(282744kWh/년)</v>
      </c>
      <c r="V287" s="263"/>
      <c r="W287" s="263"/>
      <c r="X287" s="263"/>
      <c r="Y287" s="324">
        <f>CC167</f>
        <v>8.333867966895496E-2</v>
      </c>
      <c r="Z287" s="324"/>
      <c r="AA287" s="264">
        <f>CD167</f>
        <v>0.69</v>
      </c>
      <c r="AB287" s="264"/>
      <c r="AC287" s="264">
        <f>CE167</f>
        <v>7.63</v>
      </c>
      <c r="AD287" s="269"/>
      <c r="AE287" s="42"/>
      <c r="AF287" s="42"/>
      <c r="AG287" s="42"/>
      <c r="AH287" s="42"/>
      <c r="AI287" s="42"/>
      <c r="AJ287" s="42"/>
      <c r="AK287" s="42"/>
      <c r="AL287" s="43"/>
      <c r="AM287" s="43"/>
      <c r="AN287" s="12"/>
      <c r="AO287" s="12"/>
      <c r="AP287" s="12"/>
      <c r="AQ287" s="12"/>
      <c r="AR287" s="12"/>
      <c r="AS287" s="79"/>
    </row>
    <row r="288" spans="2:45" ht="16.5" customHeight="1">
      <c r="B288" s="19"/>
      <c r="C288" s="19"/>
      <c r="D288" s="19"/>
      <c r="E288" s="19"/>
      <c r="F288" s="19"/>
      <c r="G288" s="19"/>
      <c r="H288" s="322"/>
      <c r="I288" s="263"/>
      <c r="J288" s="323"/>
      <c r="K288" s="323"/>
      <c r="L288" s="323"/>
      <c r="M288" s="263"/>
      <c r="N288" s="263"/>
      <c r="O288" s="263"/>
      <c r="P288" s="263"/>
      <c r="Q288" s="263"/>
      <c r="R288" s="263"/>
      <c r="S288" s="263"/>
      <c r="T288" s="263"/>
      <c r="U288" s="263"/>
      <c r="V288" s="263"/>
      <c r="W288" s="263"/>
      <c r="X288" s="263"/>
      <c r="Y288" s="324"/>
      <c r="Z288" s="324"/>
      <c r="AA288" s="264"/>
      <c r="AB288" s="264"/>
      <c r="AC288" s="264"/>
      <c r="AD288" s="269"/>
      <c r="AE288" s="42"/>
      <c r="AF288" s="42"/>
      <c r="AG288" s="42"/>
      <c r="AH288" s="42"/>
      <c r="AI288" s="42"/>
      <c r="AJ288" s="42"/>
      <c r="AK288" s="42"/>
      <c r="AL288" s="43"/>
      <c r="AM288" s="43"/>
      <c r="AN288" s="12"/>
      <c r="AO288" s="12"/>
      <c r="AP288" s="12"/>
      <c r="AQ288" s="12"/>
      <c r="AR288" s="12"/>
      <c r="AS288" s="79"/>
    </row>
    <row r="289" spans="2:45" ht="16.5" customHeight="1">
      <c r="B289" s="19"/>
      <c r="C289" s="19"/>
      <c r="D289" s="19"/>
      <c r="E289" s="19"/>
      <c r="F289" s="19"/>
      <c r="G289" s="19"/>
      <c r="H289" s="321" t="str">
        <f>BW168</f>
        <v>온실가스 저감</v>
      </c>
      <c r="I289" s="263"/>
      <c r="J289" s="323" t="str">
        <f>BX168</f>
        <v>고효율 펌프 가변제어 장치</v>
      </c>
      <c r="K289" s="323"/>
      <c r="L289" s="323"/>
      <c r="M289" s="263" t="str">
        <f>BY168 &amp; CB168</f>
        <v>382.5tCO2eq/년
(832524kWh/년)</v>
      </c>
      <c r="N289" s="263"/>
      <c r="O289" s="263"/>
      <c r="P289" s="263"/>
      <c r="Q289" s="263" t="str">
        <f>BZ168 &amp; CB168</f>
        <v>306tCO2eq/년
(666019kWh/년)</v>
      </c>
      <c r="R289" s="263"/>
      <c r="S289" s="263"/>
      <c r="T289" s="263"/>
      <c r="U289" s="263" t="str">
        <f>CA168 &amp; CB168</f>
        <v>76.5tCO2eq/년
(166505kWh/년)</v>
      </c>
      <c r="V289" s="263"/>
      <c r="W289" s="263"/>
      <c r="X289" s="263"/>
      <c r="Y289" s="324">
        <f>CC168</f>
        <v>0.2</v>
      </c>
      <c r="Z289" s="324"/>
      <c r="AA289" s="264">
        <f>CD168</f>
        <v>0.38</v>
      </c>
      <c r="AB289" s="264"/>
      <c r="AC289" s="264">
        <f>CE168</f>
        <v>3.79</v>
      </c>
      <c r="AD289" s="269"/>
      <c r="AE289" s="42"/>
      <c r="AF289" s="42"/>
      <c r="AG289" s="42"/>
      <c r="AH289" s="42"/>
      <c r="AI289" s="42"/>
      <c r="AJ289" s="42"/>
      <c r="AK289" s="42"/>
      <c r="AL289" s="43"/>
      <c r="AM289" s="43"/>
      <c r="AN289" s="12"/>
      <c r="AO289" s="12"/>
      <c r="AP289" s="12"/>
      <c r="AQ289" s="12"/>
      <c r="AR289" s="12"/>
      <c r="AS289" s="79"/>
    </row>
    <row r="290" spans="2:45" ht="16.5" customHeight="1">
      <c r="B290" s="19"/>
      <c r="C290" s="19"/>
      <c r="D290" s="19"/>
      <c r="E290" s="19"/>
      <c r="F290" s="19"/>
      <c r="G290" s="19"/>
      <c r="H290" s="322"/>
      <c r="I290" s="263"/>
      <c r="J290" s="323"/>
      <c r="K290" s="323"/>
      <c r="L290" s="323"/>
      <c r="M290" s="263"/>
      <c r="N290" s="263"/>
      <c r="O290" s="263"/>
      <c r="P290" s="263"/>
      <c r="Q290" s="263"/>
      <c r="R290" s="263"/>
      <c r="S290" s="263"/>
      <c r="T290" s="263"/>
      <c r="U290" s="263"/>
      <c r="V290" s="263"/>
      <c r="W290" s="263"/>
      <c r="X290" s="263"/>
      <c r="Y290" s="324"/>
      <c r="Z290" s="324"/>
      <c r="AA290" s="264"/>
      <c r="AB290" s="264"/>
      <c r="AC290" s="264"/>
      <c r="AD290" s="269"/>
      <c r="AE290" s="42"/>
      <c r="AF290" s="42"/>
      <c r="AG290" s="42"/>
      <c r="AH290" s="42"/>
      <c r="AI290" s="42"/>
      <c r="AJ290" s="42"/>
      <c r="AK290" s="42"/>
      <c r="AL290" s="43"/>
      <c r="AM290" s="43"/>
      <c r="AN290" s="12"/>
      <c r="AO290" s="12"/>
      <c r="AP290" s="12"/>
      <c r="AQ290" s="12"/>
      <c r="AR290" s="12"/>
      <c r="AS290" s="79"/>
    </row>
    <row r="291" spans="2:45" ht="16.5" customHeight="1">
      <c r="B291" s="19"/>
      <c r="C291" s="19"/>
      <c r="D291" s="19"/>
      <c r="E291" s="19"/>
      <c r="F291" s="19"/>
      <c r="G291" s="19"/>
      <c r="H291" s="321" t="str">
        <f>BW169</f>
        <v>온실가스 저감</v>
      </c>
      <c r="I291" s="263"/>
      <c r="J291" s="323" t="str">
        <f>BX169</f>
        <v>합계</v>
      </c>
      <c r="K291" s="323"/>
      <c r="L291" s="323"/>
      <c r="M291" s="263" t="str">
        <f>BY169 &amp; CB169</f>
        <v>1941.2tCO2eq/년(4225452kWh/년)</v>
      </c>
      <c r="N291" s="263"/>
      <c r="O291" s="263"/>
      <c r="P291" s="263"/>
      <c r="Q291" s="263" t="str">
        <f>BZ169 &amp; CB169</f>
        <v>1734.8tCO2eq/년(3776203kWh/년)</v>
      </c>
      <c r="R291" s="263"/>
      <c r="S291" s="263"/>
      <c r="T291" s="263"/>
      <c r="U291" s="263" t="str">
        <f>CA169 &amp; CB169</f>
        <v>206.4tCO2eq/년(449249kWh/년)</v>
      </c>
      <c r="V291" s="263"/>
      <c r="W291" s="263"/>
      <c r="X291" s="263"/>
      <c r="Y291" s="324">
        <f>CC169</f>
        <v>0.10632598392746759</v>
      </c>
      <c r="Z291" s="324"/>
      <c r="AA291" s="264">
        <f>CD169</f>
        <v>0</v>
      </c>
      <c r="AB291" s="264"/>
      <c r="AC291" s="264">
        <f>CE169</f>
        <v>0</v>
      </c>
      <c r="AD291" s="269"/>
      <c r="AE291" s="42"/>
      <c r="AF291" s="42"/>
      <c r="AG291" s="42"/>
      <c r="AH291" s="42"/>
      <c r="AI291" s="42"/>
      <c r="AJ291" s="42"/>
      <c r="AK291" s="42"/>
      <c r="AL291" s="43"/>
      <c r="AM291" s="43"/>
      <c r="AN291" s="12"/>
      <c r="AO291" s="12"/>
      <c r="AP291" s="12"/>
      <c r="AQ291" s="12"/>
      <c r="AR291" s="12"/>
      <c r="AS291" s="79"/>
    </row>
    <row r="292" spans="2:45" ht="16.5" customHeight="1">
      <c r="B292" s="19"/>
      <c r="C292" s="19"/>
      <c r="D292" s="19"/>
      <c r="E292" s="19"/>
      <c r="F292" s="19"/>
      <c r="G292" s="19"/>
      <c r="H292" s="322"/>
      <c r="I292" s="263"/>
      <c r="J292" s="323"/>
      <c r="K292" s="323"/>
      <c r="L292" s="323"/>
      <c r="M292" s="263"/>
      <c r="N292" s="263"/>
      <c r="O292" s="263"/>
      <c r="P292" s="263"/>
      <c r="Q292" s="263"/>
      <c r="R292" s="263"/>
      <c r="S292" s="263"/>
      <c r="T292" s="263"/>
      <c r="U292" s="263"/>
      <c r="V292" s="263"/>
      <c r="W292" s="263"/>
      <c r="X292" s="263"/>
      <c r="Y292" s="324"/>
      <c r="Z292" s="324"/>
      <c r="AA292" s="264"/>
      <c r="AB292" s="264"/>
      <c r="AC292" s="264"/>
      <c r="AD292" s="269"/>
      <c r="AE292" s="42"/>
      <c r="AF292" s="42"/>
      <c r="AG292" s="42"/>
      <c r="AH292" s="42"/>
      <c r="AI292" s="42"/>
      <c r="AJ292" s="42"/>
      <c r="AK292" s="42"/>
      <c r="AL292" s="43"/>
      <c r="AM292" s="43"/>
      <c r="AN292" s="12"/>
      <c r="AO292" s="12"/>
      <c r="AP292" s="12"/>
      <c r="AQ292" s="12"/>
      <c r="AR292" s="12"/>
      <c r="AS292" s="79"/>
    </row>
    <row r="293" spans="2:45" ht="16.5" customHeight="1">
      <c r="B293" s="19"/>
      <c r="C293" s="19"/>
      <c r="D293" s="19"/>
      <c r="E293" s="19"/>
      <c r="F293" s="19"/>
      <c r="G293" s="19"/>
      <c r="H293" s="321" t="str">
        <f>BW170</f>
        <v>ICT</v>
      </c>
      <c r="I293" s="263"/>
      <c r="J293" s="323" t="str">
        <f>BX170</f>
        <v>사업성과 모니터링시스템</v>
      </c>
      <c r="K293" s="323"/>
      <c r="L293" s="323"/>
      <c r="M293" s="263" t="str">
        <f>BY170 &amp; CB170</f>
        <v>0천원/년</v>
      </c>
      <c r="N293" s="263"/>
      <c r="O293" s="263"/>
      <c r="P293" s="263"/>
      <c r="Q293" s="263" t="str">
        <f>BZ170&amp; CB170</f>
        <v>102005천원/년</v>
      </c>
      <c r="R293" s="263"/>
      <c r="S293" s="263"/>
      <c r="T293" s="263"/>
      <c r="U293" s="263" t="str">
        <f>CA170&amp; CB170</f>
        <v>102005천원/년</v>
      </c>
      <c r="V293" s="263"/>
      <c r="W293" s="263"/>
      <c r="X293" s="263"/>
      <c r="Y293" s="324">
        <f>CC170</f>
        <v>1</v>
      </c>
      <c r="Z293" s="324"/>
      <c r="AA293" s="264">
        <f>CD170</f>
        <v>0.63</v>
      </c>
      <c r="AB293" s="264"/>
      <c r="AC293" s="264">
        <f>CE170</f>
        <v>7.51</v>
      </c>
      <c r="AD293" s="269"/>
      <c r="AE293" s="42"/>
      <c r="AF293" s="42"/>
      <c r="AG293" s="42"/>
      <c r="AH293" s="42"/>
      <c r="AI293" s="42"/>
      <c r="AJ293" s="42"/>
      <c r="AK293" s="42"/>
      <c r="AL293" s="43"/>
      <c r="AM293" s="43"/>
      <c r="AN293" s="12"/>
      <c r="AO293" s="12"/>
      <c r="AP293" s="12"/>
      <c r="AQ293" s="12"/>
      <c r="AR293" s="12"/>
      <c r="AS293" s="79"/>
    </row>
    <row r="294" spans="2:45" ht="16.5" customHeight="1">
      <c r="B294" s="19"/>
      <c r="C294" s="19"/>
      <c r="D294" s="19"/>
      <c r="E294" s="19"/>
      <c r="F294" s="19"/>
      <c r="G294" s="19"/>
      <c r="H294" s="322"/>
      <c r="I294" s="263"/>
      <c r="J294" s="323"/>
      <c r="K294" s="323"/>
      <c r="L294" s="323"/>
      <c r="M294" s="263"/>
      <c r="N294" s="263"/>
      <c r="O294" s="263"/>
      <c r="P294" s="263"/>
      <c r="Q294" s="263"/>
      <c r="R294" s="263"/>
      <c r="S294" s="263"/>
      <c r="T294" s="263"/>
      <c r="U294" s="263"/>
      <c r="V294" s="263"/>
      <c r="W294" s="263"/>
      <c r="X294" s="263"/>
      <c r="Y294" s="324"/>
      <c r="Z294" s="324"/>
      <c r="AA294" s="264"/>
      <c r="AB294" s="264"/>
      <c r="AC294" s="264"/>
      <c r="AD294" s="269"/>
      <c r="AE294" s="42"/>
      <c r="AF294" s="42"/>
      <c r="AG294" s="42"/>
      <c r="AH294" s="42"/>
      <c r="AI294" s="42"/>
      <c r="AJ294" s="42"/>
      <c r="AK294" s="42"/>
      <c r="AL294" s="43"/>
      <c r="AM294" s="43"/>
      <c r="AN294" s="12"/>
      <c r="AO294" s="12"/>
      <c r="AP294" s="12"/>
      <c r="AQ294" s="12"/>
      <c r="AR294" s="12"/>
      <c r="AS294" s="79"/>
    </row>
    <row r="295" spans="2:45" ht="16.5" customHeight="1">
      <c r="B295" s="19"/>
      <c r="C295" s="19"/>
      <c r="D295" s="19"/>
      <c r="E295" s="19"/>
      <c r="F295" s="19"/>
      <c r="G295" s="19"/>
      <c r="H295" s="321" t="str">
        <f>BW171</f>
        <v>ICT</v>
      </c>
      <c r="I295" s="263"/>
      <c r="J295" s="323" t="str">
        <f>BX171</f>
        <v>합계</v>
      </c>
      <c r="K295" s="323"/>
      <c r="L295" s="323"/>
      <c r="M295" s="263" t="str">
        <f>BY171 &amp; CB171</f>
        <v>0천원/년</v>
      </c>
      <c r="N295" s="263"/>
      <c r="O295" s="263"/>
      <c r="P295" s="263"/>
      <c r="Q295" s="263" t="str">
        <f>BZ171 &amp; CB171</f>
        <v>102005천원/년</v>
      </c>
      <c r="R295" s="263"/>
      <c r="S295" s="263"/>
      <c r="T295" s="263"/>
      <c r="U295" s="263" t="str">
        <f>CA171 &amp; CB171</f>
        <v>102005천원/년</v>
      </c>
      <c r="V295" s="263"/>
      <c r="W295" s="263"/>
      <c r="X295" s="263"/>
      <c r="Y295" s="324">
        <f>CC171</f>
        <v>1</v>
      </c>
      <c r="Z295" s="324"/>
      <c r="AA295" s="264">
        <f>CD171</f>
        <v>0</v>
      </c>
      <c r="AB295" s="264"/>
      <c r="AC295" s="264">
        <f>CE171</f>
        <v>0</v>
      </c>
      <c r="AD295" s="269"/>
      <c r="AE295" s="42"/>
      <c r="AF295" s="42"/>
      <c r="AG295" s="42"/>
      <c r="AH295" s="42"/>
      <c r="AI295" s="42"/>
      <c r="AJ295" s="42"/>
      <c r="AK295" s="42"/>
      <c r="AL295" s="43"/>
      <c r="AM295" s="43"/>
      <c r="AN295" s="12"/>
      <c r="AO295" s="12"/>
      <c r="AP295" s="12"/>
      <c r="AQ295" s="12"/>
      <c r="AR295" s="12"/>
      <c r="AS295" s="79"/>
    </row>
    <row r="296" spans="2:45" ht="16.5" customHeight="1">
      <c r="B296" s="19"/>
      <c r="C296" s="19"/>
      <c r="D296" s="19"/>
      <c r="E296" s="19"/>
      <c r="F296" s="19"/>
      <c r="G296" s="19"/>
      <c r="H296" s="322"/>
      <c r="I296" s="263"/>
      <c r="J296" s="323"/>
      <c r="K296" s="323"/>
      <c r="L296" s="323"/>
      <c r="M296" s="263"/>
      <c r="N296" s="263"/>
      <c r="O296" s="263"/>
      <c r="P296" s="263"/>
      <c r="Q296" s="263"/>
      <c r="R296" s="263"/>
      <c r="S296" s="263"/>
      <c r="T296" s="263"/>
      <c r="U296" s="263"/>
      <c r="V296" s="263"/>
      <c r="W296" s="263"/>
      <c r="X296" s="263"/>
      <c r="Y296" s="324"/>
      <c r="Z296" s="324"/>
      <c r="AA296" s="264"/>
      <c r="AB296" s="264"/>
      <c r="AC296" s="264"/>
      <c r="AD296" s="269"/>
      <c r="AE296" s="42"/>
      <c r="AF296" s="42"/>
      <c r="AG296" s="42"/>
      <c r="AH296" s="42"/>
      <c r="AI296" s="42"/>
      <c r="AJ296" s="42"/>
      <c r="AK296" s="42"/>
      <c r="AL296" s="43"/>
      <c r="AM296" s="43"/>
      <c r="AN296" s="12"/>
      <c r="AO296" s="12"/>
      <c r="AP296" s="12"/>
      <c r="AQ296" s="12"/>
      <c r="AR296" s="12"/>
      <c r="AS296" s="79"/>
    </row>
    <row r="297" spans="2:45" ht="16.5" customHeight="1">
      <c r="B297" s="19"/>
      <c r="C297" s="19"/>
      <c r="D297" s="19"/>
      <c r="E297" s="19"/>
      <c r="F297" s="19"/>
      <c r="G297" s="19"/>
      <c r="H297" s="321" t="str">
        <f>BW172</f>
        <v>대기오염 저감</v>
      </c>
      <c r="I297" s="263"/>
      <c r="J297" s="323" t="str">
        <f>BX172</f>
        <v>고효율 여과 집진시설</v>
      </c>
      <c r="K297" s="323"/>
      <c r="L297" s="323"/>
      <c r="M297" s="263" t="str">
        <f>BY172 &amp; CB172</f>
        <v>0.0085ppm</v>
      </c>
      <c r="N297" s="263"/>
      <c r="O297" s="263"/>
      <c r="P297" s="263"/>
      <c r="Q297" s="263" t="str">
        <f>BZ172 &amp; CB172</f>
        <v>0.00085ppm</v>
      </c>
      <c r="R297" s="263"/>
      <c r="S297" s="263"/>
      <c r="T297" s="263"/>
      <c r="U297" s="263" t="str">
        <f>CA172 &amp; CB172</f>
        <v>0.00765ppm</v>
      </c>
      <c r="V297" s="263"/>
      <c r="W297" s="263"/>
      <c r="X297" s="263"/>
      <c r="Y297" s="324">
        <f>CC172</f>
        <v>0.9</v>
      </c>
      <c r="Z297" s="324"/>
      <c r="AA297" s="264">
        <f>CD172</f>
        <v>0.53</v>
      </c>
      <c r="AB297" s="264"/>
      <c r="AC297" s="264">
        <f>CE172</f>
        <v>6.38</v>
      </c>
      <c r="AD297" s="269"/>
      <c r="AE297" s="42"/>
      <c r="AF297" s="42"/>
      <c r="AG297" s="42"/>
      <c r="AH297" s="42"/>
      <c r="AI297" s="42"/>
      <c r="AJ297" s="42"/>
      <c r="AK297" s="42"/>
      <c r="AL297" s="44"/>
      <c r="AM297" s="44"/>
      <c r="AN297" s="80"/>
      <c r="AO297" s="80"/>
      <c r="AP297" s="80"/>
      <c r="AQ297" s="80"/>
      <c r="AR297" s="80"/>
      <c r="AS297" s="80"/>
    </row>
    <row r="298" spans="2:45" ht="16.5" customHeight="1">
      <c r="B298" s="19"/>
      <c r="C298" s="19"/>
      <c r="D298" s="19"/>
      <c r="E298" s="19"/>
      <c r="F298" s="19"/>
      <c r="G298" s="19"/>
      <c r="H298" s="322"/>
      <c r="I298" s="263"/>
      <c r="J298" s="323"/>
      <c r="K298" s="323"/>
      <c r="L298" s="323"/>
      <c r="M298" s="263"/>
      <c r="N298" s="263"/>
      <c r="O298" s="263"/>
      <c r="P298" s="263"/>
      <c r="Q298" s="263"/>
      <c r="R298" s="263"/>
      <c r="S298" s="263"/>
      <c r="T298" s="263"/>
      <c r="U298" s="263"/>
      <c r="V298" s="263"/>
      <c r="W298" s="263"/>
      <c r="X298" s="263"/>
      <c r="Y298" s="324"/>
      <c r="Z298" s="324"/>
      <c r="AA298" s="264"/>
      <c r="AB298" s="264"/>
      <c r="AC298" s="264"/>
      <c r="AD298" s="269"/>
      <c r="AE298" s="19"/>
      <c r="AF298" s="19"/>
      <c r="AG298" s="19"/>
      <c r="AH298" s="19"/>
      <c r="AI298" s="19"/>
      <c r="AJ298" s="19"/>
      <c r="AK298" s="19"/>
      <c r="AL298" s="44"/>
      <c r="AM298" s="44"/>
      <c r="AN298" s="80"/>
      <c r="AO298" s="80"/>
      <c r="AP298" s="80"/>
      <c r="AQ298" s="80"/>
      <c r="AR298" s="80"/>
      <c r="AS298" s="80"/>
    </row>
    <row r="299" spans="2:45">
      <c r="B299" s="19"/>
      <c r="C299" s="19"/>
      <c r="D299" s="19"/>
      <c r="E299" s="19"/>
      <c r="F299" s="19"/>
      <c r="G299" s="19"/>
      <c r="H299" s="321" t="str">
        <f>BW173</f>
        <v>대기오염 저감</v>
      </c>
      <c r="I299" s="263"/>
      <c r="J299" s="323" t="str">
        <f>BX173</f>
        <v>합계</v>
      </c>
      <c r="K299" s="323"/>
      <c r="L299" s="323"/>
      <c r="M299" s="263" t="str">
        <f>BY173 &amp; CB173</f>
        <v>0.0085ppm</v>
      </c>
      <c r="N299" s="263"/>
      <c r="O299" s="263"/>
      <c r="P299" s="263"/>
      <c r="Q299" s="263" t="str">
        <f>BZ173 &amp; CB173</f>
        <v>0.00085ppm</v>
      </c>
      <c r="R299" s="263"/>
      <c r="S299" s="263"/>
      <c r="T299" s="263"/>
      <c r="U299" s="263" t="str">
        <f>CA173 &amp; CB173</f>
        <v>0.00765ppm</v>
      </c>
      <c r="V299" s="263"/>
      <c r="W299" s="263"/>
      <c r="X299" s="263"/>
      <c r="Y299" s="324">
        <f>CC173</f>
        <v>0.9</v>
      </c>
      <c r="Z299" s="324"/>
      <c r="AA299" s="264">
        <f>CD173</f>
        <v>0</v>
      </c>
      <c r="AB299" s="264"/>
      <c r="AC299" s="264">
        <f>CE173</f>
        <v>0</v>
      </c>
      <c r="AD299" s="269"/>
      <c r="AE299" s="19"/>
      <c r="AF299" s="19"/>
      <c r="AG299" s="19"/>
      <c r="AH299" s="19"/>
      <c r="AI299" s="19"/>
      <c r="AJ299" s="19"/>
      <c r="AK299" s="19"/>
      <c r="AL299" s="44"/>
      <c r="AM299" s="44"/>
      <c r="AN299" s="80"/>
      <c r="AO299" s="80"/>
      <c r="AP299" s="80"/>
      <c r="AQ299" s="80"/>
      <c r="AR299" s="80"/>
      <c r="AS299" s="80"/>
    </row>
    <row r="300" spans="2:45">
      <c r="B300" s="19"/>
      <c r="C300" s="19"/>
      <c r="D300" s="19"/>
      <c r="E300" s="19"/>
      <c r="F300" s="19"/>
      <c r="G300" s="19"/>
      <c r="H300" s="322"/>
      <c r="I300" s="263"/>
      <c r="J300" s="323"/>
      <c r="K300" s="323"/>
      <c r="L300" s="323"/>
      <c r="M300" s="263"/>
      <c r="N300" s="263"/>
      <c r="O300" s="263"/>
      <c r="P300" s="263"/>
      <c r="Q300" s="263"/>
      <c r="R300" s="263"/>
      <c r="S300" s="263"/>
      <c r="T300" s="263"/>
      <c r="U300" s="263"/>
      <c r="V300" s="263"/>
      <c r="W300" s="263"/>
      <c r="X300" s="263"/>
      <c r="Y300" s="324"/>
      <c r="Z300" s="324"/>
      <c r="AA300" s="264"/>
      <c r="AB300" s="264"/>
      <c r="AC300" s="264"/>
      <c r="AD300" s="269"/>
      <c r="AE300" s="19"/>
      <c r="AF300" s="19"/>
      <c r="AG300" s="19"/>
      <c r="AH300" s="19"/>
      <c r="AI300" s="19"/>
      <c r="AJ300" s="19"/>
      <c r="AK300" s="19"/>
      <c r="AL300" s="44"/>
      <c r="AM300" s="44"/>
      <c r="AN300" s="80"/>
      <c r="AO300" s="80"/>
      <c r="AP300" s="80"/>
      <c r="AQ300" s="80"/>
      <c r="AR300" s="80"/>
      <c r="AS300" s="80"/>
    </row>
    <row r="301" spans="2:45">
      <c r="B301" s="19"/>
      <c r="C301" s="19"/>
      <c r="D301" s="19"/>
      <c r="E301" s="19"/>
      <c r="F301" s="19"/>
      <c r="G301" s="19"/>
      <c r="H301" s="321" t="str">
        <f>BW174</f>
        <v>폐기물배출 저감</v>
      </c>
      <c r="I301" s="263"/>
      <c r="J301" s="323" t="str">
        <f>BX174</f>
        <v>발포라인 딥러닝 시스템</v>
      </c>
      <c r="K301" s="323"/>
      <c r="L301" s="323"/>
      <c r="M301" s="263" t="str">
        <f>BY174 &amp; CB174</f>
        <v>3.5ton/년</v>
      </c>
      <c r="N301" s="263"/>
      <c r="O301" s="263"/>
      <c r="P301" s="263"/>
      <c r="Q301" s="263" t="str">
        <f>BZ174 &amp; CB174</f>
        <v>0.7ton/년</v>
      </c>
      <c r="R301" s="263"/>
      <c r="S301" s="263"/>
      <c r="T301" s="263"/>
      <c r="U301" s="263" t="str">
        <f>CA174 &amp; CB174</f>
        <v>2.8ton/년</v>
      </c>
      <c r="V301" s="263"/>
      <c r="W301" s="263"/>
      <c r="X301" s="263"/>
      <c r="Y301" s="324">
        <f>CC174</f>
        <v>0.79999999999999993</v>
      </c>
      <c r="Z301" s="324"/>
      <c r="AA301" s="264">
        <f>CD174</f>
        <v>0.56000000000000005</v>
      </c>
      <c r="AB301" s="264"/>
      <c r="AC301" s="264">
        <f>CE174</f>
        <v>4.5199999999999996</v>
      </c>
      <c r="AD301" s="269"/>
      <c r="AE301" s="19"/>
      <c r="AF301" s="19"/>
      <c r="AG301" s="19"/>
      <c r="AH301" s="19"/>
      <c r="AI301" s="19"/>
      <c r="AJ301" s="19"/>
      <c r="AK301" s="19"/>
      <c r="AL301" s="44"/>
      <c r="AM301" s="44"/>
      <c r="AN301" s="80"/>
      <c r="AO301" s="80"/>
      <c r="AP301" s="80"/>
      <c r="AQ301" s="80"/>
      <c r="AR301" s="80"/>
      <c r="AS301" s="80"/>
    </row>
    <row r="302" spans="2:45">
      <c r="B302" s="19"/>
      <c r="C302" s="19"/>
      <c r="D302" s="19"/>
      <c r="E302" s="19"/>
      <c r="F302" s="19"/>
      <c r="G302" s="19"/>
      <c r="H302" s="322"/>
      <c r="I302" s="263"/>
      <c r="J302" s="323"/>
      <c r="K302" s="323"/>
      <c r="L302" s="323"/>
      <c r="M302" s="263"/>
      <c r="N302" s="263"/>
      <c r="O302" s="263"/>
      <c r="P302" s="263"/>
      <c r="Q302" s="263"/>
      <c r="R302" s="263"/>
      <c r="S302" s="263"/>
      <c r="T302" s="263"/>
      <c r="U302" s="263"/>
      <c r="V302" s="263"/>
      <c r="W302" s="263"/>
      <c r="X302" s="263"/>
      <c r="Y302" s="324"/>
      <c r="Z302" s="324"/>
      <c r="AA302" s="264"/>
      <c r="AB302" s="264"/>
      <c r="AC302" s="264"/>
      <c r="AD302" s="269"/>
      <c r="AE302" s="19"/>
      <c r="AF302" s="19"/>
      <c r="AG302" s="19"/>
      <c r="AH302" s="19"/>
      <c r="AI302" s="19"/>
      <c r="AJ302" s="19"/>
      <c r="AK302" s="19"/>
      <c r="AL302" s="44"/>
      <c r="AM302" s="44"/>
      <c r="AN302" s="80"/>
      <c r="AO302" s="80"/>
      <c r="AP302" s="80"/>
      <c r="AQ302" s="80"/>
      <c r="AR302" s="80"/>
      <c r="AS302" s="80"/>
    </row>
    <row r="303" spans="2:45">
      <c r="B303" s="19"/>
      <c r="C303" s="19"/>
      <c r="D303" s="19"/>
      <c r="E303" s="19"/>
      <c r="F303" s="19"/>
      <c r="G303" s="19"/>
      <c r="H303" s="321" t="str">
        <f>BW175</f>
        <v>폐기물배출 저감</v>
      </c>
      <c r="I303" s="263"/>
      <c r="J303" s="323" t="str">
        <f>BX175</f>
        <v>합계</v>
      </c>
      <c r="K303" s="323"/>
      <c r="L303" s="323"/>
      <c r="M303" s="263" t="str">
        <f>BY175 &amp; CB175</f>
        <v>3.5ton/년</v>
      </c>
      <c r="N303" s="263"/>
      <c r="O303" s="263"/>
      <c r="P303" s="263"/>
      <c r="Q303" s="263" t="str">
        <f>BZ175 &amp; CB175</f>
        <v>0.7ton/년</v>
      </c>
      <c r="R303" s="263"/>
      <c r="S303" s="263"/>
      <c r="T303" s="263"/>
      <c r="U303" s="263" t="str">
        <f>CA175 &amp; CB175</f>
        <v>2.8ton/년</v>
      </c>
      <c r="V303" s="263"/>
      <c r="W303" s="263"/>
      <c r="X303" s="263"/>
      <c r="Y303" s="324">
        <f>CC175</f>
        <v>0.79999999999999993</v>
      </c>
      <c r="Z303" s="324"/>
      <c r="AA303" s="264">
        <f>CD175</f>
        <v>0</v>
      </c>
      <c r="AB303" s="264"/>
      <c r="AC303" s="264">
        <f>CE175</f>
        <v>0</v>
      </c>
      <c r="AD303" s="269"/>
      <c r="AE303" s="19"/>
      <c r="AF303" s="19"/>
      <c r="AG303" s="19"/>
      <c r="AH303" s="19"/>
      <c r="AI303" s="19"/>
      <c r="AJ303" s="19"/>
      <c r="AK303" s="19"/>
      <c r="AL303" s="44"/>
      <c r="AM303" s="44"/>
      <c r="AN303" s="80"/>
      <c r="AO303" s="80"/>
      <c r="AP303" s="80"/>
      <c r="AQ303" s="80"/>
      <c r="AR303" s="80"/>
      <c r="AS303" s="80"/>
    </row>
    <row r="304" spans="2:45">
      <c r="B304" s="19"/>
      <c r="C304" s="19"/>
      <c r="D304" s="19"/>
      <c r="E304" s="19"/>
      <c r="F304" s="19"/>
      <c r="G304" s="19"/>
      <c r="H304" s="322"/>
      <c r="I304" s="263"/>
      <c r="J304" s="323"/>
      <c r="K304" s="323"/>
      <c r="L304" s="323"/>
      <c r="M304" s="263"/>
      <c r="N304" s="263"/>
      <c r="O304" s="263"/>
      <c r="P304" s="263"/>
      <c r="Q304" s="263"/>
      <c r="R304" s="263"/>
      <c r="S304" s="263"/>
      <c r="T304" s="263"/>
      <c r="U304" s="263"/>
      <c r="V304" s="263"/>
      <c r="W304" s="263"/>
      <c r="X304" s="263"/>
      <c r="Y304" s="324"/>
      <c r="Z304" s="324"/>
      <c r="AA304" s="264"/>
      <c r="AB304" s="264"/>
      <c r="AC304" s="264"/>
      <c r="AD304" s="269"/>
      <c r="AE304" s="19"/>
      <c r="AF304" s="19"/>
      <c r="AG304" s="19"/>
      <c r="AH304" s="19"/>
      <c r="AI304" s="19"/>
      <c r="AJ304" s="19"/>
      <c r="AK304" s="19"/>
      <c r="AL304" s="44"/>
      <c r="AM304" s="44"/>
      <c r="AN304" s="80"/>
      <c r="AO304" s="80"/>
      <c r="AP304" s="80"/>
      <c r="AQ304" s="80"/>
      <c r="AR304" s="80"/>
      <c r="AS304" s="80"/>
    </row>
    <row r="305" spans="2:45">
      <c r="B305" s="19"/>
      <c r="C305" s="19"/>
      <c r="D305" s="19"/>
      <c r="E305" s="19"/>
      <c r="F305" s="19"/>
      <c r="G305" s="19"/>
      <c r="H305" s="321" t="str">
        <f>BW176</f>
        <v>자원순환</v>
      </c>
      <c r="I305" s="263"/>
      <c r="J305" s="323" t="str">
        <f>BX176</f>
        <v>빗물 재이용시설</v>
      </c>
      <c r="K305" s="323"/>
      <c r="L305" s="323"/>
      <c r="M305" s="263" t="str">
        <f>BY176 &amp; CB176</f>
        <v>0ton/년</v>
      </c>
      <c r="N305" s="263"/>
      <c r="O305" s="263"/>
      <c r="P305" s="263"/>
      <c r="Q305" s="263" t="str">
        <f>BZ176 &amp; CB176</f>
        <v>257.4ton/년</v>
      </c>
      <c r="R305" s="263"/>
      <c r="S305" s="263"/>
      <c r="T305" s="263"/>
      <c r="U305" s="263" t="str">
        <f>CA176 &amp; CB176</f>
        <v>257.4ton/년</v>
      </c>
      <c r="V305" s="263"/>
      <c r="W305" s="263"/>
      <c r="X305" s="263"/>
      <c r="Y305" s="324">
        <f>CC176</f>
        <v>1</v>
      </c>
      <c r="Z305" s="324"/>
      <c r="AA305" s="264">
        <f>CD176</f>
        <v>0.19</v>
      </c>
      <c r="AB305" s="264"/>
      <c r="AC305" s="264">
        <f>CE176</f>
        <v>1.54</v>
      </c>
      <c r="AD305" s="269"/>
      <c r="AE305" s="42"/>
      <c r="AF305" s="42"/>
      <c r="AG305" s="42"/>
      <c r="AH305" s="42"/>
      <c r="AI305" s="42"/>
      <c r="AJ305" s="42"/>
      <c r="AK305" s="42"/>
      <c r="AL305" s="44"/>
      <c r="AM305" s="44"/>
      <c r="AN305" s="80"/>
      <c r="AO305" s="80"/>
      <c r="AP305" s="80"/>
      <c r="AQ305" s="80"/>
      <c r="AR305" s="80"/>
      <c r="AS305" s="80"/>
    </row>
    <row r="306" spans="2:45" ht="16.5" customHeight="1">
      <c r="B306" s="19"/>
      <c r="C306" s="19"/>
      <c r="D306" s="19"/>
      <c r="E306" s="19"/>
      <c r="F306" s="19"/>
      <c r="G306" s="19"/>
      <c r="H306" s="322"/>
      <c r="I306" s="263"/>
      <c r="J306" s="323"/>
      <c r="K306" s="323"/>
      <c r="L306" s="323"/>
      <c r="M306" s="263"/>
      <c r="N306" s="263"/>
      <c r="O306" s="263"/>
      <c r="P306" s="263"/>
      <c r="Q306" s="263"/>
      <c r="R306" s="263"/>
      <c r="S306" s="263"/>
      <c r="T306" s="263"/>
      <c r="U306" s="263"/>
      <c r="V306" s="263"/>
      <c r="W306" s="263"/>
      <c r="X306" s="263"/>
      <c r="Y306" s="324"/>
      <c r="Z306" s="324"/>
      <c r="AA306" s="264"/>
      <c r="AB306" s="264"/>
      <c r="AC306" s="264"/>
      <c r="AD306" s="269"/>
      <c r="AE306" s="19"/>
      <c r="AF306" s="19"/>
      <c r="AG306" s="19"/>
      <c r="AH306" s="19"/>
      <c r="AI306" s="19"/>
      <c r="AJ306" s="19"/>
      <c r="AK306" s="19"/>
      <c r="AL306" s="44"/>
      <c r="AM306" s="44"/>
      <c r="AN306" s="80"/>
      <c r="AO306" s="80"/>
      <c r="AP306" s="80"/>
      <c r="AQ306" s="80"/>
      <c r="AR306" s="80"/>
      <c r="AS306" s="80"/>
    </row>
    <row r="307" spans="2:45">
      <c r="B307" s="19"/>
      <c r="C307" s="19"/>
      <c r="D307" s="19"/>
      <c r="E307" s="19"/>
      <c r="F307" s="19"/>
      <c r="G307" s="19"/>
      <c r="H307" s="321" t="str">
        <f>BW177</f>
        <v>자원순환</v>
      </c>
      <c r="I307" s="263"/>
      <c r="J307" s="323" t="str">
        <f>BX177</f>
        <v>합계</v>
      </c>
      <c r="K307" s="323"/>
      <c r="L307" s="323"/>
      <c r="M307" s="263" t="str">
        <f>BY177 &amp; CB177</f>
        <v>0ton/년</v>
      </c>
      <c r="N307" s="263"/>
      <c r="O307" s="263"/>
      <c r="P307" s="263"/>
      <c r="Q307" s="263" t="str">
        <f>BZ177 &amp; CB177</f>
        <v>257.4ton/년</v>
      </c>
      <c r="R307" s="263"/>
      <c r="S307" s="263"/>
      <c r="T307" s="263"/>
      <c r="U307" s="263" t="str">
        <f>CA177 &amp; CB177</f>
        <v>257.4ton/년</v>
      </c>
      <c r="V307" s="263"/>
      <c r="W307" s="263"/>
      <c r="X307" s="263"/>
      <c r="Y307" s="324">
        <f>CC177</f>
        <v>1</v>
      </c>
      <c r="Z307" s="324"/>
      <c r="AA307" s="264">
        <f>CD177</f>
        <v>0</v>
      </c>
      <c r="AB307" s="264"/>
      <c r="AC307" s="264">
        <f>CE177</f>
        <v>0</v>
      </c>
      <c r="AD307" s="269"/>
      <c r="AE307" s="19"/>
      <c r="AF307" s="19"/>
      <c r="AG307" s="19"/>
      <c r="AH307" s="19"/>
      <c r="AI307" s="19"/>
      <c r="AJ307" s="19"/>
      <c r="AK307" s="19"/>
      <c r="AL307" s="44"/>
      <c r="AM307" s="44"/>
      <c r="AN307" s="80"/>
      <c r="AO307" s="80"/>
      <c r="AP307" s="80"/>
      <c r="AQ307" s="80"/>
      <c r="AR307" s="80"/>
      <c r="AS307" s="80"/>
    </row>
    <row r="308" spans="2:45">
      <c r="B308" s="19"/>
      <c r="C308" s="19"/>
      <c r="D308" s="19"/>
      <c r="E308" s="19"/>
      <c r="F308" s="19"/>
      <c r="G308" s="19"/>
      <c r="H308" s="322"/>
      <c r="I308" s="263"/>
      <c r="J308" s="323"/>
      <c r="K308" s="323"/>
      <c r="L308" s="323"/>
      <c r="M308" s="263"/>
      <c r="N308" s="263"/>
      <c r="O308" s="263"/>
      <c r="P308" s="263"/>
      <c r="Q308" s="263"/>
      <c r="R308" s="263"/>
      <c r="S308" s="263"/>
      <c r="T308" s="263"/>
      <c r="U308" s="263"/>
      <c r="V308" s="263"/>
      <c r="W308" s="263"/>
      <c r="X308" s="263"/>
      <c r="Y308" s="324"/>
      <c r="Z308" s="324"/>
      <c r="AA308" s="264"/>
      <c r="AB308" s="264"/>
      <c r="AC308" s="264"/>
      <c r="AD308" s="269"/>
      <c r="AE308" s="19"/>
      <c r="AF308" s="19"/>
      <c r="AG308" s="19"/>
      <c r="AH308" s="19"/>
      <c r="AI308" s="19"/>
      <c r="AJ308" s="19"/>
      <c r="AK308" s="19"/>
      <c r="AL308" s="44"/>
      <c r="AM308" s="44"/>
      <c r="AN308" s="80"/>
      <c r="AO308" s="80"/>
      <c r="AP308" s="80"/>
      <c r="AQ308" s="80"/>
      <c r="AR308" s="80"/>
      <c r="AS308" s="80"/>
    </row>
    <row r="309" spans="2:45">
      <c r="B309" s="19"/>
      <c r="C309" s="19"/>
      <c r="D309" s="19"/>
      <c r="E309" s="19"/>
      <c r="F309" s="19"/>
      <c r="G309" s="19"/>
      <c r="H309" s="321" t="str">
        <f>BW178</f>
        <v>고용창출</v>
      </c>
      <c r="I309" s="263"/>
      <c r="J309" s="323" t="str">
        <f>BX178</f>
        <v>-</v>
      </c>
      <c r="K309" s="323"/>
      <c r="L309" s="323"/>
      <c r="M309" s="263" t="str">
        <f>BY178 &amp; CB178</f>
        <v>0명</v>
      </c>
      <c r="N309" s="263"/>
      <c r="O309" s="263"/>
      <c r="P309" s="263"/>
      <c r="Q309" s="263" t="str">
        <f>BZ178 &amp; CB178</f>
        <v>2명</v>
      </c>
      <c r="R309" s="263"/>
      <c r="S309" s="263"/>
      <c r="T309" s="263"/>
      <c r="U309" s="263" t="str">
        <f>CA178 &amp; CB178</f>
        <v>2명</v>
      </c>
      <c r="V309" s="263"/>
      <c r="W309" s="263"/>
      <c r="X309" s="263"/>
      <c r="Y309" s="324">
        <f>CC178</f>
        <v>1</v>
      </c>
      <c r="Z309" s="324"/>
      <c r="AA309" s="264">
        <f>CD178</f>
        <v>0</v>
      </c>
      <c r="AB309" s="264"/>
      <c r="AC309" s="264">
        <f>CE178</f>
        <v>0</v>
      </c>
      <c r="AD309" s="269"/>
      <c r="AE309" s="19"/>
      <c r="AF309" s="19"/>
      <c r="AG309" s="19"/>
      <c r="AH309" s="19"/>
      <c r="AI309" s="19"/>
      <c r="AJ309" s="19"/>
      <c r="AK309" s="19"/>
      <c r="AL309" s="44"/>
      <c r="AM309" s="44"/>
      <c r="AN309" s="80"/>
      <c r="AO309" s="80"/>
      <c r="AP309" s="80"/>
      <c r="AQ309" s="80"/>
      <c r="AR309" s="80"/>
      <c r="AS309" s="80"/>
    </row>
    <row r="310" spans="2:45">
      <c r="B310" s="19"/>
      <c r="C310" s="19"/>
      <c r="D310" s="19"/>
      <c r="E310" s="19"/>
      <c r="F310" s="19"/>
      <c r="G310" s="19"/>
      <c r="H310" s="322"/>
      <c r="I310" s="263"/>
      <c r="J310" s="323"/>
      <c r="K310" s="323"/>
      <c r="L310" s="323"/>
      <c r="M310" s="263"/>
      <c r="N310" s="263"/>
      <c r="O310" s="263"/>
      <c r="P310" s="263"/>
      <c r="Q310" s="263"/>
      <c r="R310" s="263"/>
      <c r="S310" s="263"/>
      <c r="T310" s="263"/>
      <c r="U310" s="263"/>
      <c r="V310" s="263"/>
      <c r="W310" s="263"/>
      <c r="X310" s="263"/>
      <c r="Y310" s="324"/>
      <c r="Z310" s="324"/>
      <c r="AA310" s="264"/>
      <c r="AB310" s="264"/>
      <c r="AC310" s="264"/>
      <c r="AD310" s="269"/>
      <c r="AE310" s="19"/>
      <c r="AF310" s="19"/>
      <c r="AG310" s="19"/>
      <c r="AH310" s="19"/>
      <c r="AI310" s="19"/>
      <c r="AJ310" s="19"/>
      <c r="AK310" s="19"/>
      <c r="AL310" s="44"/>
      <c r="AM310" s="44"/>
      <c r="AN310" s="80"/>
      <c r="AO310" s="80"/>
      <c r="AP310" s="80"/>
      <c r="AQ310" s="80"/>
      <c r="AR310" s="80"/>
      <c r="AS310" s="80"/>
    </row>
    <row r="311" spans="2:45">
      <c r="B311" s="19"/>
      <c r="C311" s="19"/>
      <c r="D311" s="19"/>
      <c r="E311" s="19"/>
      <c r="F311" s="19"/>
      <c r="G311" s="19"/>
      <c r="H311" s="321" t="str">
        <f>BW179</f>
        <v>경제적효과</v>
      </c>
      <c r="I311" s="263"/>
      <c r="J311" s="323" t="str">
        <f>BX179</f>
        <v>-</v>
      </c>
      <c r="K311" s="323"/>
      <c r="L311" s="323"/>
      <c r="M311" s="263" t="str">
        <f>BY179 &amp; CB179</f>
        <v>0천원/년</v>
      </c>
      <c r="N311" s="263"/>
      <c r="O311" s="263"/>
      <c r="P311" s="263"/>
      <c r="Q311" s="263" t="str">
        <f>BZ179 &amp; CB179</f>
        <v>407697천원/년</v>
      </c>
      <c r="R311" s="263"/>
      <c r="S311" s="263"/>
      <c r="T311" s="263"/>
      <c r="U311" s="263" t="str">
        <f>CA179 &amp; CB179</f>
        <v>407697천원/년</v>
      </c>
      <c r="V311" s="263"/>
      <c r="W311" s="263"/>
      <c r="X311" s="263"/>
      <c r="Y311" s="324">
        <f>CC179</f>
        <v>1</v>
      </c>
      <c r="Z311" s="324"/>
      <c r="AA311" s="264">
        <f>CD179</f>
        <v>0</v>
      </c>
      <c r="AB311" s="264"/>
      <c r="AC311" s="264">
        <f>CE179</f>
        <v>0</v>
      </c>
      <c r="AD311" s="269"/>
      <c r="AE311" s="19"/>
      <c r="AF311" s="19"/>
      <c r="AG311" s="19"/>
      <c r="AH311" s="19"/>
      <c r="AI311" s="19"/>
      <c r="AJ311" s="19"/>
      <c r="AK311" s="19"/>
      <c r="AL311" s="44"/>
      <c r="AM311" s="44"/>
      <c r="AN311" s="80"/>
      <c r="AO311" s="80"/>
      <c r="AP311" s="80"/>
      <c r="AQ311" s="80"/>
      <c r="AR311" s="80"/>
      <c r="AS311" s="80"/>
    </row>
    <row r="312" spans="2:45">
      <c r="B312" s="19"/>
      <c r="C312" s="19"/>
      <c r="D312" s="19"/>
      <c r="E312" s="19"/>
      <c r="F312" s="19"/>
      <c r="G312" s="19"/>
      <c r="H312" s="322"/>
      <c r="I312" s="263"/>
      <c r="J312" s="323"/>
      <c r="K312" s="323"/>
      <c r="L312" s="323"/>
      <c r="M312" s="263"/>
      <c r="N312" s="263"/>
      <c r="O312" s="263"/>
      <c r="P312" s="263"/>
      <c r="Q312" s="263"/>
      <c r="R312" s="263"/>
      <c r="S312" s="263"/>
      <c r="T312" s="263"/>
      <c r="U312" s="263"/>
      <c r="V312" s="263"/>
      <c r="W312" s="263"/>
      <c r="X312" s="263"/>
      <c r="Y312" s="324"/>
      <c r="Z312" s="324"/>
      <c r="AA312" s="264"/>
      <c r="AB312" s="264"/>
      <c r="AC312" s="264"/>
      <c r="AD312" s="269"/>
      <c r="AE312" s="19"/>
      <c r="AF312" s="19"/>
      <c r="AG312" s="19"/>
      <c r="AH312" s="19"/>
      <c r="AI312" s="19"/>
      <c r="AJ312" s="19"/>
      <c r="AK312" s="19"/>
      <c r="AL312" s="44"/>
      <c r="AM312" s="44"/>
      <c r="AN312" s="80"/>
      <c r="AO312" s="80"/>
      <c r="AP312" s="80"/>
      <c r="AQ312" s="80"/>
      <c r="AR312" s="80"/>
      <c r="AS312" s="80"/>
    </row>
    <row r="313" spans="2:45">
      <c r="B313" s="19"/>
      <c r="C313" s="19"/>
      <c r="D313" s="19"/>
      <c r="E313" s="19"/>
      <c r="F313" s="19"/>
      <c r="G313" s="19"/>
      <c r="H313" s="321" t="e">
        <f>BW180</f>
        <v>#N/A</v>
      </c>
      <c r="I313" s="263"/>
      <c r="J313" s="323" t="e">
        <f>BX180</f>
        <v>#N/A</v>
      </c>
      <c r="K313" s="323"/>
      <c r="L313" s="323"/>
      <c r="M313" s="263" t="e">
        <f>BY180 &amp; CB180</f>
        <v>#N/A</v>
      </c>
      <c r="N313" s="263"/>
      <c r="O313" s="263"/>
      <c r="P313" s="263"/>
      <c r="Q313" s="263" t="e">
        <f>BZ180 &amp; CB180</f>
        <v>#N/A</v>
      </c>
      <c r="R313" s="263"/>
      <c r="S313" s="263"/>
      <c r="T313" s="263"/>
      <c r="U313" s="263" t="e">
        <f>CA180 &amp; CB180</f>
        <v>#N/A</v>
      </c>
      <c r="V313" s="263"/>
      <c r="W313" s="263"/>
      <c r="X313" s="263"/>
      <c r="Y313" s="324" t="e">
        <f>CC180</f>
        <v>#N/A</v>
      </c>
      <c r="Z313" s="324"/>
      <c r="AA313" s="264" t="e">
        <f>CD180</f>
        <v>#N/A</v>
      </c>
      <c r="AB313" s="264"/>
      <c r="AC313" s="264" t="e">
        <f>CE180</f>
        <v>#N/A</v>
      </c>
      <c r="AD313" s="269"/>
      <c r="AE313" s="19"/>
      <c r="AF313" s="19"/>
      <c r="AG313" s="19"/>
      <c r="AH313" s="19"/>
      <c r="AI313" s="19"/>
      <c r="AJ313" s="19"/>
      <c r="AK313" s="19"/>
      <c r="AL313" s="44"/>
      <c r="AM313" s="44"/>
      <c r="AN313" s="80"/>
      <c r="AO313" s="80"/>
      <c r="AP313" s="80"/>
      <c r="AQ313" s="80"/>
      <c r="AR313" s="80"/>
      <c r="AS313" s="80"/>
    </row>
    <row r="314" spans="2:45">
      <c r="B314" s="19"/>
      <c r="C314" s="19"/>
      <c r="D314" s="19"/>
      <c r="E314" s="19"/>
      <c r="F314" s="19"/>
      <c r="G314" s="19"/>
      <c r="H314" s="322"/>
      <c r="I314" s="263"/>
      <c r="J314" s="323"/>
      <c r="K314" s="323"/>
      <c r="L314" s="323"/>
      <c r="M314" s="263"/>
      <c r="N314" s="263"/>
      <c r="O314" s="263"/>
      <c r="P314" s="263"/>
      <c r="Q314" s="263"/>
      <c r="R314" s="263"/>
      <c r="S314" s="263"/>
      <c r="T314" s="263"/>
      <c r="U314" s="263"/>
      <c r="V314" s="263"/>
      <c r="W314" s="263"/>
      <c r="X314" s="263"/>
      <c r="Y314" s="324"/>
      <c r="Z314" s="324"/>
      <c r="AA314" s="264"/>
      <c r="AB314" s="264"/>
      <c r="AC314" s="264"/>
      <c r="AD314" s="269"/>
      <c r="AE314" s="19"/>
      <c r="AF314" s="19"/>
      <c r="AG314" s="19"/>
      <c r="AH314" s="19"/>
      <c r="AI314" s="19"/>
      <c r="AJ314" s="19"/>
      <c r="AK314" s="19"/>
      <c r="AL314" s="44"/>
      <c r="AM314" s="44"/>
      <c r="AN314" s="80"/>
      <c r="AO314" s="80"/>
      <c r="AP314" s="80"/>
      <c r="AQ314" s="80"/>
      <c r="AR314" s="80"/>
      <c r="AS314" s="80"/>
    </row>
    <row r="315" spans="2:45">
      <c r="B315" s="19"/>
      <c r="C315" s="19"/>
      <c r="D315" s="19"/>
      <c r="E315" s="19"/>
      <c r="F315" s="19"/>
      <c r="G315" s="19"/>
      <c r="H315" s="321" t="e">
        <f>BW181</f>
        <v>#N/A</v>
      </c>
      <c r="I315" s="263"/>
      <c r="J315" s="323" t="e">
        <f>BX181</f>
        <v>#N/A</v>
      </c>
      <c r="K315" s="323"/>
      <c r="L315" s="323"/>
      <c r="M315" s="263" t="e">
        <f>BY181 &amp; CB181</f>
        <v>#N/A</v>
      </c>
      <c r="N315" s="263"/>
      <c r="O315" s="263"/>
      <c r="P315" s="263"/>
      <c r="Q315" s="263" t="e">
        <f>BZ181 &amp; CB181</f>
        <v>#N/A</v>
      </c>
      <c r="R315" s="263"/>
      <c r="S315" s="263"/>
      <c r="T315" s="263"/>
      <c r="U315" s="263" t="e">
        <f>CA181 &amp; CB181</f>
        <v>#N/A</v>
      </c>
      <c r="V315" s="263"/>
      <c r="W315" s="263"/>
      <c r="X315" s="263"/>
      <c r="Y315" s="324" t="e">
        <f>CC181</f>
        <v>#N/A</v>
      </c>
      <c r="Z315" s="324"/>
      <c r="AA315" s="264" t="e">
        <f>CD181</f>
        <v>#N/A</v>
      </c>
      <c r="AB315" s="264"/>
      <c r="AC315" s="264" t="e">
        <f>CE181</f>
        <v>#N/A</v>
      </c>
      <c r="AD315" s="269"/>
      <c r="AE315" s="19"/>
      <c r="AF315" s="19"/>
      <c r="AG315" s="19"/>
      <c r="AH315" s="19"/>
      <c r="AI315" s="19"/>
      <c r="AJ315" s="19"/>
      <c r="AK315" s="19"/>
      <c r="AL315" s="44"/>
      <c r="AM315" s="44"/>
      <c r="AN315" s="80"/>
      <c r="AO315" s="80"/>
      <c r="AP315" s="80"/>
      <c r="AQ315" s="80"/>
      <c r="AR315" s="80"/>
      <c r="AS315" s="80"/>
    </row>
    <row r="316" spans="2:45">
      <c r="B316" s="19"/>
      <c r="C316" s="19"/>
      <c r="D316" s="19"/>
      <c r="E316" s="19"/>
      <c r="F316" s="19"/>
      <c r="G316" s="19"/>
      <c r="H316" s="322"/>
      <c r="I316" s="263"/>
      <c r="J316" s="323"/>
      <c r="K316" s="323"/>
      <c r="L316" s="323"/>
      <c r="M316" s="263"/>
      <c r="N316" s="263"/>
      <c r="O316" s="263"/>
      <c r="P316" s="263"/>
      <c r="Q316" s="263"/>
      <c r="R316" s="263"/>
      <c r="S316" s="263"/>
      <c r="T316" s="263"/>
      <c r="U316" s="263"/>
      <c r="V316" s="263"/>
      <c r="W316" s="263"/>
      <c r="X316" s="263"/>
      <c r="Y316" s="324"/>
      <c r="Z316" s="324"/>
      <c r="AA316" s="264"/>
      <c r="AB316" s="264"/>
      <c r="AC316" s="264"/>
      <c r="AD316" s="269"/>
      <c r="AE316" s="19"/>
      <c r="AF316" s="19"/>
      <c r="AG316" s="19"/>
      <c r="AH316" s="19"/>
      <c r="AI316" s="19"/>
      <c r="AJ316" s="19"/>
      <c r="AK316" s="19"/>
      <c r="AL316" s="44"/>
      <c r="AM316" s="44"/>
      <c r="AN316" s="80"/>
      <c r="AO316" s="80"/>
      <c r="AP316" s="80"/>
      <c r="AQ316" s="80"/>
      <c r="AR316" s="80"/>
      <c r="AS316" s="80"/>
    </row>
    <row r="317" spans="2:45">
      <c r="B317" s="19"/>
      <c r="C317" s="19"/>
      <c r="D317" s="19"/>
      <c r="E317" s="19"/>
      <c r="F317" s="19"/>
      <c r="G317" s="19"/>
      <c r="H317" s="321" t="e">
        <f>BW182</f>
        <v>#N/A</v>
      </c>
      <c r="I317" s="263"/>
      <c r="J317" s="323" t="e">
        <f>BX182</f>
        <v>#N/A</v>
      </c>
      <c r="K317" s="323"/>
      <c r="L317" s="323"/>
      <c r="M317" s="263" t="e">
        <f>BY182 &amp; CB182</f>
        <v>#N/A</v>
      </c>
      <c r="N317" s="263"/>
      <c r="O317" s="263"/>
      <c r="P317" s="263"/>
      <c r="Q317" s="263" t="e">
        <f>BZ182 &amp; CB182</f>
        <v>#N/A</v>
      </c>
      <c r="R317" s="263"/>
      <c r="S317" s="263"/>
      <c r="T317" s="263"/>
      <c r="U317" s="263" t="e">
        <f>CA182 &amp; CB182</f>
        <v>#N/A</v>
      </c>
      <c r="V317" s="263"/>
      <c r="W317" s="263"/>
      <c r="X317" s="263"/>
      <c r="Y317" s="324" t="e">
        <f>CC182</f>
        <v>#N/A</v>
      </c>
      <c r="Z317" s="324"/>
      <c r="AA317" s="264" t="e">
        <f>CD182</f>
        <v>#N/A</v>
      </c>
      <c r="AB317" s="264"/>
      <c r="AC317" s="264" t="e">
        <f>CE182</f>
        <v>#N/A</v>
      </c>
      <c r="AD317" s="269"/>
      <c r="AE317" s="19"/>
      <c r="AF317" s="19"/>
      <c r="AG317" s="19"/>
      <c r="AH317" s="19"/>
      <c r="AI317" s="19"/>
      <c r="AJ317" s="19"/>
      <c r="AK317" s="19"/>
      <c r="AL317" s="44"/>
      <c r="AM317" s="44"/>
      <c r="AN317" s="80"/>
      <c r="AO317" s="80"/>
      <c r="AP317" s="80"/>
      <c r="AQ317" s="80"/>
      <c r="AR317" s="80"/>
      <c r="AS317" s="80"/>
    </row>
    <row r="318" spans="2:45">
      <c r="B318" s="19"/>
      <c r="C318" s="19"/>
      <c r="D318" s="19"/>
      <c r="E318" s="19"/>
      <c r="F318" s="19"/>
      <c r="G318" s="19"/>
      <c r="H318" s="322"/>
      <c r="I318" s="263"/>
      <c r="J318" s="323"/>
      <c r="K318" s="323"/>
      <c r="L318" s="323"/>
      <c r="M318" s="263"/>
      <c r="N318" s="263"/>
      <c r="O318" s="263"/>
      <c r="P318" s="263"/>
      <c r="Q318" s="263"/>
      <c r="R318" s="263"/>
      <c r="S318" s="263"/>
      <c r="T318" s="263"/>
      <c r="U318" s="263"/>
      <c r="V318" s="263"/>
      <c r="W318" s="263"/>
      <c r="X318" s="263"/>
      <c r="Y318" s="324"/>
      <c r="Z318" s="324"/>
      <c r="AA318" s="264"/>
      <c r="AB318" s="264"/>
      <c r="AC318" s="264"/>
      <c r="AD318" s="269"/>
      <c r="AE318" s="19"/>
      <c r="AF318" s="19"/>
      <c r="AG318" s="19"/>
      <c r="AH318" s="19"/>
      <c r="AI318" s="19"/>
      <c r="AJ318" s="19"/>
      <c r="AK318" s="19"/>
      <c r="AL318" s="44"/>
      <c r="AM318" s="44"/>
      <c r="AN318" s="80"/>
      <c r="AO318" s="80"/>
      <c r="AP318" s="80"/>
      <c r="AQ318" s="80"/>
      <c r="AR318" s="80"/>
      <c r="AS318" s="80"/>
    </row>
    <row r="319" spans="2:45">
      <c r="B319" s="19"/>
      <c r="C319" s="19"/>
      <c r="D319" s="19"/>
      <c r="E319" s="19"/>
      <c r="F319" s="19"/>
      <c r="G319" s="19"/>
      <c r="H319" s="321" t="e">
        <f>BW183</f>
        <v>#N/A</v>
      </c>
      <c r="I319" s="263"/>
      <c r="J319" s="323" t="e">
        <f>BX183</f>
        <v>#N/A</v>
      </c>
      <c r="K319" s="323"/>
      <c r="L319" s="323"/>
      <c r="M319" s="263" t="e">
        <f>BY183 &amp; CB183</f>
        <v>#N/A</v>
      </c>
      <c r="N319" s="263"/>
      <c r="O319" s="263"/>
      <c r="P319" s="263"/>
      <c r="Q319" s="263" t="e">
        <f>BZ183 &amp; CB183</f>
        <v>#N/A</v>
      </c>
      <c r="R319" s="263"/>
      <c r="S319" s="263"/>
      <c r="T319" s="263"/>
      <c r="U319" s="263" t="e">
        <f>CA183 &amp; CB183</f>
        <v>#N/A</v>
      </c>
      <c r="V319" s="263"/>
      <c r="W319" s="263"/>
      <c r="X319" s="263"/>
      <c r="Y319" s="324" t="e">
        <f>CC183</f>
        <v>#N/A</v>
      </c>
      <c r="Z319" s="324"/>
      <c r="AA319" s="264" t="e">
        <f>CD183</f>
        <v>#N/A</v>
      </c>
      <c r="AB319" s="264"/>
      <c r="AC319" s="264" t="e">
        <f>CE183</f>
        <v>#N/A</v>
      </c>
      <c r="AD319" s="269"/>
      <c r="AE319" s="19"/>
      <c r="AF319" s="19"/>
      <c r="AG319" s="19"/>
      <c r="AH319" s="19"/>
      <c r="AI319" s="19"/>
      <c r="AJ319" s="19"/>
      <c r="AK319" s="19"/>
      <c r="AL319" s="44"/>
      <c r="AM319" s="44"/>
      <c r="AN319" s="80"/>
      <c r="AO319" s="80"/>
      <c r="AP319" s="80"/>
      <c r="AQ319" s="80"/>
      <c r="AR319" s="80"/>
      <c r="AS319" s="80"/>
    </row>
    <row r="320" spans="2:45">
      <c r="B320" s="19"/>
      <c r="C320" s="19"/>
      <c r="D320" s="19"/>
      <c r="E320" s="19"/>
      <c r="F320" s="19"/>
      <c r="G320" s="19"/>
      <c r="H320" s="322"/>
      <c r="I320" s="263"/>
      <c r="J320" s="323"/>
      <c r="K320" s="323"/>
      <c r="L320" s="323"/>
      <c r="M320" s="263"/>
      <c r="N320" s="263"/>
      <c r="O320" s="263"/>
      <c r="P320" s="263"/>
      <c r="Q320" s="263"/>
      <c r="R320" s="263"/>
      <c r="S320" s="263"/>
      <c r="T320" s="263"/>
      <c r="U320" s="263"/>
      <c r="V320" s="263"/>
      <c r="W320" s="263"/>
      <c r="X320" s="263"/>
      <c r="Y320" s="324"/>
      <c r="Z320" s="324"/>
      <c r="AA320" s="264"/>
      <c r="AB320" s="264"/>
      <c r="AC320" s="264"/>
      <c r="AD320" s="269"/>
      <c r="AE320" s="19"/>
      <c r="AF320" s="19"/>
      <c r="AG320" s="19"/>
      <c r="AH320" s="19"/>
      <c r="AI320" s="19"/>
      <c r="AJ320" s="19"/>
      <c r="AK320" s="19"/>
      <c r="AL320" s="44"/>
      <c r="AM320" s="44"/>
      <c r="AN320" s="80"/>
      <c r="AO320" s="80"/>
      <c r="AP320" s="80"/>
      <c r="AQ320" s="80"/>
      <c r="AR320" s="80"/>
      <c r="AS320" s="80"/>
    </row>
    <row r="321" spans="2:45">
      <c r="B321" s="19"/>
      <c r="C321" s="19"/>
      <c r="D321" s="19"/>
      <c r="E321" s="19"/>
      <c r="F321" s="19"/>
      <c r="G321" s="19"/>
      <c r="H321" s="321" t="e">
        <f>BW184</f>
        <v>#N/A</v>
      </c>
      <c r="I321" s="263"/>
      <c r="J321" s="323" t="e">
        <f>BX184</f>
        <v>#N/A</v>
      </c>
      <c r="K321" s="323"/>
      <c r="L321" s="323"/>
      <c r="M321" s="263" t="e">
        <f>BY184 &amp; CB184</f>
        <v>#N/A</v>
      </c>
      <c r="N321" s="263"/>
      <c r="O321" s="263"/>
      <c r="P321" s="263"/>
      <c r="Q321" s="263" t="e">
        <f>BZ184 &amp; CB184</f>
        <v>#N/A</v>
      </c>
      <c r="R321" s="263"/>
      <c r="S321" s="263"/>
      <c r="T321" s="263"/>
      <c r="U321" s="263" t="e">
        <f>CA184 &amp; CB184</f>
        <v>#N/A</v>
      </c>
      <c r="V321" s="263"/>
      <c r="W321" s="263"/>
      <c r="X321" s="263"/>
      <c r="Y321" s="324" t="e">
        <f>CC184</f>
        <v>#N/A</v>
      </c>
      <c r="Z321" s="324"/>
      <c r="AA321" s="264" t="e">
        <f>CD184</f>
        <v>#N/A</v>
      </c>
      <c r="AB321" s="264"/>
      <c r="AC321" s="264" t="e">
        <f>CE184</f>
        <v>#N/A</v>
      </c>
      <c r="AD321" s="269"/>
      <c r="AE321" s="19"/>
      <c r="AF321" s="19"/>
      <c r="AG321" s="19"/>
      <c r="AH321" s="19"/>
      <c r="AI321" s="19"/>
      <c r="AJ321" s="19"/>
      <c r="AK321" s="19"/>
      <c r="AL321" s="44"/>
      <c r="AM321" s="44"/>
      <c r="AN321" s="80"/>
      <c r="AO321" s="80"/>
      <c r="AP321" s="80"/>
      <c r="AQ321" s="80"/>
      <c r="AR321" s="80"/>
      <c r="AS321" s="80"/>
    </row>
    <row r="322" spans="2:45">
      <c r="B322" s="19"/>
      <c r="C322" s="19"/>
      <c r="D322" s="19"/>
      <c r="E322" s="19"/>
      <c r="F322" s="19"/>
      <c r="G322" s="19"/>
      <c r="H322" s="322"/>
      <c r="I322" s="263"/>
      <c r="J322" s="323"/>
      <c r="K322" s="323"/>
      <c r="L322" s="323"/>
      <c r="M322" s="263"/>
      <c r="N322" s="263"/>
      <c r="O322" s="263"/>
      <c r="P322" s="263"/>
      <c r="Q322" s="263"/>
      <c r="R322" s="263"/>
      <c r="S322" s="263"/>
      <c r="T322" s="263"/>
      <c r="U322" s="263"/>
      <c r="V322" s="263"/>
      <c r="W322" s="263"/>
      <c r="X322" s="263"/>
      <c r="Y322" s="324"/>
      <c r="Z322" s="324"/>
      <c r="AA322" s="264"/>
      <c r="AB322" s="264"/>
      <c r="AC322" s="264"/>
      <c r="AD322" s="269"/>
      <c r="AE322" s="19"/>
      <c r="AF322" s="19"/>
      <c r="AG322" s="19"/>
      <c r="AH322" s="19"/>
      <c r="AI322" s="19"/>
      <c r="AJ322" s="19"/>
      <c r="AK322" s="19"/>
      <c r="AL322" s="44"/>
      <c r="AM322" s="44"/>
      <c r="AN322" s="80"/>
      <c r="AO322" s="80"/>
      <c r="AP322" s="80"/>
      <c r="AQ322" s="80"/>
      <c r="AR322" s="80"/>
      <c r="AS322" s="80"/>
    </row>
    <row r="323" spans="2:45">
      <c r="B323" s="19"/>
      <c r="C323" s="19"/>
      <c r="D323" s="19"/>
      <c r="E323" s="19"/>
      <c r="F323" s="19"/>
      <c r="G323" s="19"/>
      <c r="H323" s="321" t="e">
        <f>BW185</f>
        <v>#N/A</v>
      </c>
      <c r="I323" s="263"/>
      <c r="J323" s="323" t="e">
        <f>BX185</f>
        <v>#N/A</v>
      </c>
      <c r="K323" s="323"/>
      <c r="L323" s="323"/>
      <c r="M323" s="263" t="e">
        <f>BY185 &amp; CB185</f>
        <v>#N/A</v>
      </c>
      <c r="N323" s="263"/>
      <c r="O323" s="263"/>
      <c r="P323" s="263"/>
      <c r="Q323" s="263" t="e">
        <f>BZ185 &amp; CB185</f>
        <v>#N/A</v>
      </c>
      <c r="R323" s="263"/>
      <c r="S323" s="263"/>
      <c r="T323" s="263"/>
      <c r="U323" s="263" t="e">
        <f>CA185 &amp; CB185</f>
        <v>#N/A</v>
      </c>
      <c r="V323" s="263"/>
      <c r="W323" s="263"/>
      <c r="X323" s="263"/>
      <c r="Y323" s="324" t="e">
        <f>CC185</f>
        <v>#N/A</v>
      </c>
      <c r="Z323" s="324"/>
      <c r="AA323" s="264" t="e">
        <f>CD185</f>
        <v>#N/A</v>
      </c>
      <c r="AB323" s="264"/>
      <c r="AC323" s="264" t="e">
        <f>CE185</f>
        <v>#N/A</v>
      </c>
      <c r="AD323" s="269"/>
      <c r="AE323" s="19"/>
      <c r="AF323" s="19"/>
      <c r="AG323" s="19"/>
      <c r="AH323" s="19"/>
      <c r="AI323" s="19"/>
      <c r="AJ323" s="19"/>
      <c r="AK323" s="19"/>
      <c r="AL323" s="44"/>
      <c r="AM323" s="44"/>
      <c r="AN323" s="80"/>
      <c r="AO323" s="80"/>
      <c r="AP323" s="80"/>
      <c r="AQ323" s="80"/>
      <c r="AR323" s="80"/>
      <c r="AS323" s="80"/>
    </row>
    <row r="324" spans="2:45">
      <c r="B324" s="19"/>
      <c r="C324" s="19"/>
      <c r="D324" s="19"/>
      <c r="E324" s="19"/>
      <c r="F324" s="19"/>
      <c r="G324" s="19"/>
      <c r="H324" s="322"/>
      <c r="I324" s="263"/>
      <c r="J324" s="323"/>
      <c r="K324" s="323"/>
      <c r="L324" s="323"/>
      <c r="M324" s="263"/>
      <c r="N324" s="263"/>
      <c r="O324" s="263"/>
      <c r="P324" s="263"/>
      <c r="Q324" s="263"/>
      <c r="R324" s="263"/>
      <c r="S324" s="263"/>
      <c r="T324" s="263"/>
      <c r="U324" s="263"/>
      <c r="V324" s="263"/>
      <c r="W324" s="263"/>
      <c r="X324" s="263"/>
      <c r="Y324" s="324"/>
      <c r="Z324" s="324"/>
      <c r="AA324" s="264"/>
      <c r="AB324" s="264"/>
      <c r="AC324" s="264"/>
      <c r="AD324" s="269"/>
      <c r="AE324" s="19"/>
      <c r="AF324" s="19"/>
      <c r="AG324" s="19"/>
      <c r="AH324" s="19"/>
      <c r="AI324" s="19"/>
      <c r="AJ324" s="19"/>
      <c r="AK324" s="19"/>
      <c r="AL324" s="44"/>
      <c r="AM324" s="44"/>
      <c r="AN324" s="80"/>
      <c r="AO324" s="80"/>
      <c r="AP324" s="80"/>
      <c r="AQ324" s="80"/>
      <c r="AR324" s="80"/>
      <c r="AS324" s="80"/>
    </row>
    <row r="325" spans="2:45">
      <c r="B325" s="19"/>
      <c r="C325" s="19"/>
      <c r="D325" s="19"/>
      <c r="E325" s="19"/>
      <c r="F325" s="19"/>
      <c r="G325" s="19"/>
      <c r="H325" s="321" t="e">
        <f>BW186</f>
        <v>#N/A</v>
      </c>
      <c r="I325" s="263"/>
      <c r="J325" s="323" t="e">
        <f>BX186</f>
        <v>#N/A</v>
      </c>
      <c r="K325" s="323"/>
      <c r="L325" s="323"/>
      <c r="M325" s="263" t="e">
        <f>BY186 &amp; CB186</f>
        <v>#N/A</v>
      </c>
      <c r="N325" s="263"/>
      <c r="O325" s="263"/>
      <c r="P325" s="263"/>
      <c r="Q325" s="263" t="e">
        <f>BZ186 &amp; CB186</f>
        <v>#N/A</v>
      </c>
      <c r="R325" s="263"/>
      <c r="S325" s="263"/>
      <c r="T325" s="263"/>
      <c r="U325" s="263" t="e">
        <f>CA186 &amp; CB186</f>
        <v>#N/A</v>
      </c>
      <c r="V325" s="263"/>
      <c r="W325" s="263"/>
      <c r="X325" s="263"/>
      <c r="Y325" s="324" t="e">
        <f>CC186</f>
        <v>#N/A</v>
      </c>
      <c r="Z325" s="324"/>
      <c r="AA325" s="264" t="e">
        <f>CD186</f>
        <v>#N/A</v>
      </c>
      <c r="AB325" s="264"/>
      <c r="AC325" s="264" t="e">
        <f>CE186</f>
        <v>#N/A</v>
      </c>
      <c r="AD325" s="269"/>
      <c r="AE325" s="19"/>
      <c r="AF325" s="19"/>
      <c r="AG325" s="19"/>
      <c r="AH325" s="19"/>
      <c r="AI325" s="19"/>
      <c r="AJ325" s="19"/>
      <c r="AK325" s="19"/>
      <c r="AL325" s="44"/>
      <c r="AM325" s="44"/>
      <c r="AN325" s="80"/>
      <c r="AO325" s="80"/>
      <c r="AP325" s="80"/>
      <c r="AQ325" s="80"/>
      <c r="AR325" s="80"/>
      <c r="AS325" s="80"/>
    </row>
    <row r="326" spans="2:45">
      <c r="B326" s="19"/>
      <c r="C326" s="19"/>
      <c r="D326" s="19"/>
      <c r="E326" s="19"/>
      <c r="F326" s="19"/>
      <c r="G326" s="19"/>
      <c r="H326" s="322"/>
      <c r="I326" s="263"/>
      <c r="J326" s="323"/>
      <c r="K326" s="323"/>
      <c r="L326" s="323"/>
      <c r="M326" s="263"/>
      <c r="N326" s="263"/>
      <c r="O326" s="263"/>
      <c r="P326" s="263"/>
      <c r="Q326" s="263"/>
      <c r="R326" s="263"/>
      <c r="S326" s="263"/>
      <c r="T326" s="263"/>
      <c r="U326" s="263"/>
      <c r="V326" s="263"/>
      <c r="W326" s="263"/>
      <c r="X326" s="263"/>
      <c r="Y326" s="324"/>
      <c r="Z326" s="324"/>
      <c r="AA326" s="264"/>
      <c r="AB326" s="264"/>
      <c r="AC326" s="264"/>
      <c r="AD326" s="269"/>
      <c r="AE326" s="19"/>
      <c r="AF326" s="19"/>
      <c r="AG326" s="19"/>
      <c r="AH326" s="19"/>
      <c r="AI326" s="19"/>
      <c r="AJ326" s="19"/>
      <c r="AK326" s="19"/>
      <c r="AL326" s="44"/>
      <c r="AM326" s="44"/>
      <c r="AN326" s="80"/>
      <c r="AO326" s="80"/>
      <c r="AP326" s="80"/>
      <c r="AQ326" s="80"/>
      <c r="AR326" s="80"/>
      <c r="AS326" s="80"/>
    </row>
    <row r="327" spans="2:45">
      <c r="B327" s="19"/>
      <c r="C327" s="19"/>
      <c r="D327" s="19"/>
      <c r="E327" s="19"/>
      <c r="F327" s="19"/>
      <c r="G327" s="19"/>
      <c r="H327" s="321" t="e">
        <f>BW187</f>
        <v>#N/A</v>
      </c>
      <c r="I327" s="263"/>
      <c r="J327" s="323" t="e">
        <f>BX187</f>
        <v>#N/A</v>
      </c>
      <c r="K327" s="323"/>
      <c r="L327" s="323"/>
      <c r="M327" s="263" t="e">
        <f>BY187 &amp; CB187</f>
        <v>#N/A</v>
      </c>
      <c r="N327" s="263"/>
      <c r="O327" s="263"/>
      <c r="P327" s="263"/>
      <c r="Q327" s="263" t="e">
        <f>BZ187 &amp; CB187</f>
        <v>#N/A</v>
      </c>
      <c r="R327" s="263"/>
      <c r="S327" s="263"/>
      <c r="T327" s="263"/>
      <c r="U327" s="263" t="e">
        <f>CA187 &amp; CB187</f>
        <v>#N/A</v>
      </c>
      <c r="V327" s="263"/>
      <c r="W327" s="263"/>
      <c r="X327" s="263"/>
      <c r="Y327" s="324" t="e">
        <f>CC187</f>
        <v>#N/A</v>
      </c>
      <c r="Z327" s="324"/>
      <c r="AA327" s="264" t="e">
        <f>CD187</f>
        <v>#N/A</v>
      </c>
      <c r="AB327" s="264"/>
      <c r="AC327" s="264" t="e">
        <f>CE187</f>
        <v>#N/A</v>
      </c>
      <c r="AD327" s="269"/>
      <c r="AE327" s="19"/>
      <c r="AF327" s="19"/>
      <c r="AG327" s="19"/>
      <c r="AH327" s="19"/>
      <c r="AI327" s="19"/>
      <c r="AJ327" s="19"/>
      <c r="AK327" s="19"/>
      <c r="AL327" s="44"/>
      <c r="AM327" s="44"/>
      <c r="AN327" s="80"/>
      <c r="AO327" s="80"/>
      <c r="AP327" s="80"/>
      <c r="AQ327" s="80"/>
      <c r="AR327" s="80"/>
      <c r="AS327" s="80"/>
    </row>
    <row r="328" spans="2:45">
      <c r="B328" s="19"/>
      <c r="C328" s="19"/>
      <c r="D328" s="19"/>
      <c r="E328" s="19"/>
      <c r="F328" s="19"/>
      <c r="G328" s="19"/>
      <c r="H328" s="322"/>
      <c r="I328" s="263"/>
      <c r="J328" s="323"/>
      <c r="K328" s="323"/>
      <c r="L328" s="323"/>
      <c r="M328" s="263"/>
      <c r="N328" s="263"/>
      <c r="O328" s="263"/>
      <c r="P328" s="263"/>
      <c r="Q328" s="263"/>
      <c r="R328" s="263"/>
      <c r="S328" s="263"/>
      <c r="T328" s="263"/>
      <c r="U328" s="263"/>
      <c r="V328" s="263"/>
      <c r="W328" s="263"/>
      <c r="X328" s="263"/>
      <c r="Y328" s="324"/>
      <c r="Z328" s="324"/>
      <c r="AA328" s="264"/>
      <c r="AB328" s="264"/>
      <c r="AC328" s="264"/>
      <c r="AD328" s="269"/>
      <c r="AE328" s="19"/>
      <c r="AF328" s="19"/>
      <c r="AG328" s="19"/>
      <c r="AH328" s="19"/>
      <c r="AI328" s="19"/>
      <c r="AJ328" s="19"/>
      <c r="AK328" s="19"/>
      <c r="AL328" s="44"/>
      <c r="AM328" s="44"/>
      <c r="AN328" s="80"/>
      <c r="AO328" s="80"/>
      <c r="AP328" s="80"/>
      <c r="AQ328" s="80"/>
      <c r="AR328" s="80"/>
      <c r="AS328" s="80"/>
    </row>
    <row r="329" spans="2:45">
      <c r="B329" s="19"/>
      <c r="C329" s="19"/>
      <c r="D329" s="19"/>
      <c r="E329" s="19"/>
      <c r="F329" s="19"/>
      <c r="G329" s="19"/>
      <c r="H329" s="321" t="e">
        <f>BW188</f>
        <v>#N/A</v>
      </c>
      <c r="I329" s="263"/>
      <c r="J329" s="323" t="e">
        <f>BX188</f>
        <v>#N/A</v>
      </c>
      <c r="K329" s="323"/>
      <c r="L329" s="323"/>
      <c r="M329" s="263" t="e">
        <f>BY188 &amp; CB188</f>
        <v>#N/A</v>
      </c>
      <c r="N329" s="263"/>
      <c r="O329" s="263"/>
      <c r="P329" s="263"/>
      <c r="Q329" s="263" t="e">
        <f>BZ188 &amp; CB188</f>
        <v>#N/A</v>
      </c>
      <c r="R329" s="263"/>
      <c r="S329" s="263"/>
      <c r="T329" s="263"/>
      <c r="U329" s="263" t="e">
        <f>CA188 &amp; CB188</f>
        <v>#N/A</v>
      </c>
      <c r="V329" s="263"/>
      <c r="W329" s="263"/>
      <c r="X329" s="263"/>
      <c r="Y329" s="324" t="e">
        <f>CC188</f>
        <v>#N/A</v>
      </c>
      <c r="Z329" s="324"/>
      <c r="AA329" s="264" t="e">
        <f>CD188</f>
        <v>#N/A</v>
      </c>
      <c r="AB329" s="264"/>
      <c r="AC329" s="264" t="e">
        <f>CE188</f>
        <v>#N/A</v>
      </c>
      <c r="AD329" s="269"/>
      <c r="AE329" s="19"/>
      <c r="AF329" s="19"/>
      <c r="AG329" s="19"/>
      <c r="AH329" s="19"/>
      <c r="AI329" s="19"/>
      <c r="AJ329" s="19"/>
      <c r="AK329" s="19"/>
      <c r="AL329" s="44"/>
      <c r="AM329" s="44"/>
      <c r="AN329" s="80"/>
      <c r="AO329" s="80"/>
      <c r="AP329" s="80"/>
      <c r="AQ329" s="80"/>
      <c r="AR329" s="80"/>
      <c r="AS329" s="80"/>
    </row>
    <row r="330" spans="2:45">
      <c r="B330" s="19"/>
      <c r="C330" s="19"/>
      <c r="D330" s="19"/>
      <c r="E330" s="19"/>
      <c r="F330" s="19"/>
      <c r="G330" s="19"/>
      <c r="H330" s="322"/>
      <c r="I330" s="263"/>
      <c r="J330" s="323"/>
      <c r="K330" s="323"/>
      <c r="L330" s="323"/>
      <c r="M330" s="263"/>
      <c r="N330" s="263"/>
      <c r="O330" s="263"/>
      <c r="P330" s="263"/>
      <c r="Q330" s="263"/>
      <c r="R330" s="263"/>
      <c r="S330" s="263"/>
      <c r="T330" s="263"/>
      <c r="U330" s="263"/>
      <c r="V330" s="263"/>
      <c r="W330" s="263"/>
      <c r="X330" s="263"/>
      <c r="Y330" s="324"/>
      <c r="Z330" s="324"/>
      <c r="AA330" s="264"/>
      <c r="AB330" s="264"/>
      <c r="AC330" s="264"/>
      <c r="AD330" s="269"/>
      <c r="AE330" s="19"/>
      <c r="AF330" s="19"/>
      <c r="AG330" s="19"/>
      <c r="AH330" s="19"/>
      <c r="AI330" s="19"/>
      <c r="AJ330" s="19"/>
      <c r="AK330" s="19"/>
      <c r="AL330" s="44"/>
      <c r="AM330" s="44"/>
      <c r="AN330" s="80"/>
      <c r="AO330" s="80"/>
      <c r="AP330" s="80"/>
      <c r="AQ330" s="80"/>
      <c r="AR330" s="80"/>
      <c r="AS330" s="80"/>
    </row>
    <row r="331" spans="2:45">
      <c r="B331" s="19"/>
      <c r="C331" s="19"/>
      <c r="D331" s="19"/>
      <c r="E331" s="19"/>
      <c r="F331" s="19"/>
      <c r="G331" s="19"/>
      <c r="H331" s="321" t="e">
        <f>BW189</f>
        <v>#N/A</v>
      </c>
      <c r="I331" s="263"/>
      <c r="J331" s="323" t="e">
        <f>BX189</f>
        <v>#N/A</v>
      </c>
      <c r="K331" s="323"/>
      <c r="L331" s="323"/>
      <c r="M331" s="263" t="e">
        <f>BY189 &amp; CB189</f>
        <v>#N/A</v>
      </c>
      <c r="N331" s="263"/>
      <c r="O331" s="263"/>
      <c r="P331" s="263"/>
      <c r="Q331" s="263" t="e">
        <f>BZ189 &amp; CB189</f>
        <v>#N/A</v>
      </c>
      <c r="R331" s="263"/>
      <c r="S331" s="263"/>
      <c r="T331" s="263"/>
      <c r="U331" s="263" t="e">
        <f>CA189 &amp; CB189</f>
        <v>#N/A</v>
      </c>
      <c r="V331" s="263"/>
      <c r="W331" s="263"/>
      <c r="X331" s="263"/>
      <c r="Y331" s="324" t="e">
        <f>CC189</f>
        <v>#N/A</v>
      </c>
      <c r="Z331" s="324"/>
      <c r="AA331" s="264" t="e">
        <f>CD189</f>
        <v>#N/A</v>
      </c>
      <c r="AB331" s="264"/>
      <c r="AC331" s="264" t="e">
        <f>CE189</f>
        <v>#N/A</v>
      </c>
      <c r="AD331" s="269"/>
      <c r="AE331" s="19"/>
      <c r="AF331" s="19"/>
      <c r="AG331" s="19"/>
      <c r="AH331" s="19"/>
      <c r="AI331" s="19"/>
      <c r="AJ331" s="19"/>
      <c r="AK331" s="19"/>
      <c r="AL331" s="44"/>
      <c r="AM331" s="44"/>
      <c r="AN331" s="80"/>
      <c r="AO331" s="80"/>
      <c r="AP331" s="80"/>
      <c r="AQ331" s="80"/>
      <c r="AR331" s="80"/>
      <c r="AS331" s="80"/>
    </row>
    <row r="332" spans="2:45">
      <c r="B332" s="19"/>
      <c r="C332" s="19"/>
      <c r="D332" s="19"/>
      <c r="E332" s="19"/>
      <c r="F332" s="19"/>
      <c r="G332" s="19"/>
      <c r="H332" s="322"/>
      <c r="I332" s="263"/>
      <c r="J332" s="323"/>
      <c r="K332" s="323"/>
      <c r="L332" s="323"/>
      <c r="M332" s="263"/>
      <c r="N332" s="263"/>
      <c r="O332" s="263"/>
      <c r="P332" s="263"/>
      <c r="Q332" s="263"/>
      <c r="R332" s="263"/>
      <c r="S332" s="263"/>
      <c r="T332" s="263"/>
      <c r="U332" s="263"/>
      <c r="V332" s="263"/>
      <c r="W332" s="263"/>
      <c r="X332" s="263"/>
      <c r="Y332" s="324"/>
      <c r="Z332" s="324"/>
      <c r="AA332" s="264"/>
      <c r="AB332" s="264"/>
      <c r="AC332" s="264"/>
      <c r="AD332" s="269"/>
      <c r="AE332" s="19"/>
      <c r="AF332" s="19"/>
      <c r="AG332" s="19"/>
      <c r="AH332" s="19"/>
      <c r="AI332" s="19"/>
      <c r="AJ332" s="19"/>
      <c r="AK332" s="19"/>
      <c r="AL332" s="44"/>
      <c r="AM332" s="44"/>
      <c r="AN332" s="80"/>
      <c r="AO332" s="80"/>
      <c r="AP332" s="80"/>
      <c r="AQ332" s="80"/>
      <c r="AR332" s="80"/>
      <c r="AS332" s="80"/>
    </row>
    <row r="333" spans="2:45">
      <c r="B333" s="19"/>
      <c r="C333" s="19"/>
      <c r="D333" s="19"/>
      <c r="E333" s="19"/>
      <c r="F333" s="19"/>
      <c r="G333" s="19"/>
      <c r="H333" s="321" t="e">
        <f>BW190</f>
        <v>#N/A</v>
      </c>
      <c r="I333" s="263"/>
      <c r="J333" s="323" t="e">
        <f>BX190</f>
        <v>#N/A</v>
      </c>
      <c r="K333" s="323"/>
      <c r="L333" s="323"/>
      <c r="M333" s="263" t="e">
        <f>BY190 &amp; CB190</f>
        <v>#N/A</v>
      </c>
      <c r="N333" s="263"/>
      <c r="O333" s="263"/>
      <c r="P333" s="263"/>
      <c r="Q333" s="263" t="e">
        <f>BZ190 &amp; CB190</f>
        <v>#N/A</v>
      </c>
      <c r="R333" s="263"/>
      <c r="S333" s="263"/>
      <c r="T333" s="263"/>
      <c r="U333" s="263" t="e">
        <f>CA190 &amp; CB190</f>
        <v>#N/A</v>
      </c>
      <c r="V333" s="263"/>
      <c r="W333" s="263"/>
      <c r="X333" s="263"/>
      <c r="Y333" s="324" t="e">
        <f>CC190</f>
        <v>#N/A</v>
      </c>
      <c r="Z333" s="324"/>
      <c r="AA333" s="264" t="e">
        <f>CD190</f>
        <v>#N/A</v>
      </c>
      <c r="AB333" s="264"/>
      <c r="AC333" s="264" t="e">
        <f>CE190</f>
        <v>#N/A</v>
      </c>
      <c r="AD333" s="269"/>
      <c r="AE333" s="19"/>
      <c r="AF333" s="19"/>
      <c r="AG333" s="19"/>
      <c r="AH333" s="19"/>
      <c r="AI333" s="19"/>
      <c r="AJ333" s="19"/>
      <c r="AK333" s="19"/>
      <c r="AL333" s="44"/>
      <c r="AM333" s="44"/>
      <c r="AN333" s="80"/>
      <c r="AO333" s="80"/>
      <c r="AP333" s="80"/>
      <c r="AQ333" s="80"/>
      <c r="AR333" s="80"/>
      <c r="AS333" s="80"/>
    </row>
    <row r="334" spans="2:45">
      <c r="B334" s="19"/>
      <c r="C334" s="19"/>
      <c r="D334" s="19"/>
      <c r="E334" s="19"/>
      <c r="F334" s="19"/>
      <c r="G334" s="19"/>
      <c r="H334" s="322"/>
      <c r="I334" s="263"/>
      <c r="J334" s="323"/>
      <c r="K334" s="323"/>
      <c r="L334" s="323"/>
      <c r="M334" s="263"/>
      <c r="N334" s="263"/>
      <c r="O334" s="263"/>
      <c r="P334" s="263"/>
      <c r="Q334" s="263"/>
      <c r="R334" s="263"/>
      <c r="S334" s="263"/>
      <c r="T334" s="263"/>
      <c r="U334" s="263"/>
      <c r="V334" s="263"/>
      <c r="W334" s="263"/>
      <c r="X334" s="263"/>
      <c r="Y334" s="324"/>
      <c r="Z334" s="324"/>
      <c r="AA334" s="264"/>
      <c r="AB334" s="264"/>
      <c r="AC334" s="264"/>
      <c r="AD334" s="269"/>
      <c r="AE334" s="19"/>
      <c r="AF334" s="19"/>
      <c r="AG334" s="19"/>
      <c r="AH334" s="19"/>
      <c r="AI334" s="19"/>
      <c r="AJ334" s="19"/>
      <c r="AK334" s="19"/>
      <c r="AL334" s="44"/>
      <c r="AM334" s="44"/>
      <c r="AN334" s="80"/>
      <c r="AO334" s="80"/>
      <c r="AP334" s="80"/>
      <c r="AQ334" s="80"/>
      <c r="AR334" s="80"/>
      <c r="AS334" s="80"/>
    </row>
    <row r="335" spans="2:45">
      <c r="B335" s="19"/>
      <c r="C335" s="19"/>
      <c r="D335" s="19"/>
      <c r="E335" s="19"/>
      <c r="F335" s="19"/>
      <c r="G335" s="19"/>
      <c r="H335" s="321" t="e">
        <f>BW191</f>
        <v>#N/A</v>
      </c>
      <c r="I335" s="263"/>
      <c r="J335" s="323" t="e">
        <f>BX191</f>
        <v>#N/A</v>
      </c>
      <c r="K335" s="323"/>
      <c r="L335" s="323"/>
      <c r="M335" s="263" t="e">
        <f>BY191 &amp; CB191</f>
        <v>#N/A</v>
      </c>
      <c r="N335" s="263"/>
      <c r="O335" s="263"/>
      <c r="P335" s="263"/>
      <c r="Q335" s="263" t="e">
        <f>BZ191 &amp; CB191</f>
        <v>#N/A</v>
      </c>
      <c r="R335" s="263"/>
      <c r="S335" s="263"/>
      <c r="T335" s="263"/>
      <c r="U335" s="263" t="e">
        <f>CA191 &amp; CB191</f>
        <v>#N/A</v>
      </c>
      <c r="V335" s="263"/>
      <c r="W335" s="263"/>
      <c r="X335" s="263"/>
      <c r="Y335" s="324" t="e">
        <f>CC191</f>
        <v>#N/A</v>
      </c>
      <c r="Z335" s="324"/>
      <c r="AA335" s="264" t="e">
        <f>CD191</f>
        <v>#N/A</v>
      </c>
      <c r="AB335" s="264"/>
      <c r="AC335" s="264" t="e">
        <f>CE191</f>
        <v>#N/A</v>
      </c>
      <c r="AD335" s="269"/>
      <c r="AE335" s="19"/>
      <c r="AF335" s="19"/>
      <c r="AG335" s="19"/>
      <c r="AH335" s="19"/>
      <c r="AI335" s="19"/>
      <c r="AJ335" s="19"/>
      <c r="AK335" s="19"/>
      <c r="AL335" s="44"/>
      <c r="AM335" s="44"/>
      <c r="AN335" s="80"/>
      <c r="AO335" s="80"/>
      <c r="AP335" s="80"/>
      <c r="AQ335" s="80"/>
      <c r="AR335" s="80"/>
      <c r="AS335" s="80"/>
    </row>
    <row r="336" spans="2:45">
      <c r="B336" s="19"/>
      <c r="C336" s="19"/>
      <c r="D336" s="19"/>
      <c r="E336" s="19"/>
      <c r="F336" s="19"/>
      <c r="G336" s="19"/>
      <c r="H336" s="322"/>
      <c r="I336" s="263"/>
      <c r="J336" s="323"/>
      <c r="K336" s="323"/>
      <c r="L336" s="323"/>
      <c r="M336" s="263"/>
      <c r="N336" s="263"/>
      <c r="O336" s="263"/>
      <c r="P336" s="263"/>
      <c r="Q336" s="263"/>
      <c r="R336" s="263"/>
      <c r="S336" s="263"/>
      <c r="T336" s="263"/>
      <c r="U336" s="263"/>
      <c r="V336" s="263"/>
      <c r="W336" s="263"/>
      <c r="X336" s="263"/>
      <c r="Y336" s="324"/>
      <c r="Z336" s="324"/>
      <c r="AA336" s="264"/>
      <c r="AB336" s="264"/>
      <c r="AC336" s="264"/>
      <c r="AD336" s="269"/>
      <c r="AE336" s="19"/>
      <c r="AF336" s="19"/>
      <c r="AG336" s="19"/>
      <c r="AH336" s="19"/>
      <c r="AI336" s="19"/>
      <c r="AJ336" s="19"/>
      <c r="AK336" s="19"/>
      <c r="AL336" s="44"/>
      <c r="AM336" s="44"/>
      <c r="AN336" s="80"/>
      <c r="AO336" s="80"/>
      <c r="AP336" s="80"/>
      <c r="AQ336" s="80"/>
      <c r="AR336" s="80"/>
      <c r="AS336" s="80"/>
    </row>
    <row r="337" spans="2:45">
      <c r="B337" s="19"/>
      <c r="C337" s="19"/>
      <c r="D337" s="19"/>
      <c r="E337" s="19"/>
      <c r="F337" s="19"/>
      <c r="G337" s="19"/>
      <c r="H337" s="321" t="e">
        <f>BW192</f>
        <v>#N/A</v>
      </c>
      <c r="I337" s="263"/>
      <c r="J337" s="323" t="e">
        <f>BX192</f>
        <v>#N/A</v>
      </c>
      <c r="K337" s="323"/>
      <c r="L337" s="323"/>
      <c r="M337" s="263" t="e">
        <f>BY192 &amp; CB192</f>
        <v>#N/A</v>
      </c>
      <c r="N337" s="263"/>
      <c r="O337" s="263"/>
      <c r="P337" s="263"/>
      <c r="Q337" s="263" t="e">
        <f>BZ192 &amp; CB192</f>
        <v>#N/A</v>
      </c>
      <c r="R337" s="263"/>
      <c r="S337" s="263"/>
      <c r="T337" s="263"/>
      <c r="U337" s="263" t="e">
        <f>CA192 &amp; CB192</f>
        <v>#N/A</v>
      </c>
      <c r="V337" s="263"/>
      <c r="W337" s="263"/>
      <c r="X337" s="263"/>
      <c r="Y337" s="324" t="e">
        <f>CC192</f>
        <v>#N/A</v>
      </c>
      <c r="Z337" s="324"/>
      <c r="AA337" s="264" t="e">
        <f>CD192</f>
        <v>#N/A</v>
      </c>
      <c r="AB337" s="264"/>
      <c r="AC337" s="264" t="e">
        <f>CE192</f>
        <v>#N/A</v>
      </c>
      <c r="AD337" s="269"/>
      <c r="AE337" s="19"/>
      <c r="AF337" s="19"/>
      <c r="AG337" s="19"/>
      <c r="AH337" s="19"/>
      <c r="AI337" s="19"/>
      <c r="AJ337" s="19"/>
      <c r="AK337" s="19"/>
      <c r="AL337" s="44"/>
      <c r="AM337" s="44"/>
      <c r="AN337" s="80"/>
      <c r="AO337" s="80"/>
      <c r="AP337" s="80"/>
      <c r="AQ337" s="80"/>
      <c r="AR337" s="80"/>
      <c r="AS337" s="80"/>
    </row>
    <row r="338" spans="2:45">
      <c r="B338" s="19"/>
      <c r="C338" s="19"/>
      <c r="D338" s="19"/>
      <c r="E338" s="19"/>
      <c r="F338" s="19"/>
      <c r="G338" s="19"/>
      <c r="H338" s="322"/>
      <c r="I338" s="263"/>
      <c r="J338" s="323"/>
      <c r="K338" s="323"/>
      <c r="L338" s="323"/>
      <c r="M338" s="263"/>
      <c r="N338" s="263"/>
      <c r="O338" s="263"/>
      <c r="P338" s="263"/>
      <c r="Q338" s="263"/>
      <c r="R338" s="263"/>
      <c r="S338" s="263"/>
      <c r="T338" s="263"/>
      <c r="U338" s="263"/>
      <c r="V338" s="263"/>
      <c r="W338" s="263"/>
      <c r="X338" s="263"/>
      <c r="Y338" s="324"/>
      <c r="Z338" s="324"/>
      <c r="AA338" s="264"/>
      <c r="AB338" s="264"/>
      <c r="AC338" s="264"/>
      <c r="AD338" s="269"/>
      <c r="AE338" s="19"/>
      <c r="AF338" s="19"/>
      <c r="AG338" s="19"/>
      <c r="AH338" s="19"/>
      <c r="AI338" s="19"/>
      <c r="AJ338" s="19"/>
      <c r="AK338" s="19"/>
      <c r="AL338" s="44"/>
      <c r="AM338" s="44"/>
      <c r="AN338" s="80"/>
      <c r="AO338" s="80"/>
      <c r="AP338" s="80"/>
      <c r="AQ338" s="80"/>
      <c r="AR338" s="80"/>
      <c r="AS338" s="80"/>
    </row>
    <row r="339" spans="2:45">
      <c r="B339" s="19"/>
      <c r="C339" s="19"/>
      <c r="D339" s="19"/>
      <c r="E339" s="19"/>
      <c r="F339" s="19"/>
      <c r="G339" s="19"/>
      <c r="H339" s="321" t="e">
        <f>BW193</f>
        <v>#N/A</v>
      </c>
      <c r="I339" s="263"/>
      <c r="J339" s="323" t="e">
        <f>BX193</f>
        <v>#N/A</v>
      </c>
      <c r="K339" s="323"/>
      <c r="L339" s="323"/>
      <c r="M339" s="263" t="e">
        <f>BY193 &amp; CB193</f>
        <v>#N/A</v>
      </c>
      <c r="N339" s="263"/>
      <c r="O339" s="263"/>
      <c r="P339" s="263"/>
      <c r="Q339" s="263" t="e">
        <f>BZ193 &amp; CB193</f>
        <v>#N/A</v>
      </c>
      <c r="R339" s="263"/>
      <c r="S339" s="263"/>
      <c r="T339" s="263"/>
      <c r="U339" s="263" t="e">
        <f>CA193 &amp; CB193</f>
        <v>#N/A</v>
      </c>
      <c r="V339" s="263"/>
      <c r="W339" s="263"/>
      <c r="X339" s="263"/>
      <c r="Y339" s="324" t="e">
        <f>CC193</f>
        <v>#N/A</v>
      </c>
      <c r="Z339" s="324"/>
      <c r="AA339" s="264" t="e">
        <f>CD193</f>
        <v>#N/A</v>
      </c>
      <c r="AB339" s="264"/>
      <c r="AC339" s="264" t="e">
        <f>CE193</f>
        <v>#N/A</v>
      </c>
      <c r="AD339" s="269"/>
      <c r="AE339" s="19"/>
      <c r="AF339" s="19"/>
      <c r="AG339" s="19"/>
      <c r="AH339" s="19"/>
      <c r="AI339" s="19"/>
      <c r="AJ339" s="19"/>
      <c r="AK339" s="19"/>
      <c r="AL339" s="44"/>
      <c r="AM339" s="44"/>
      <c r="AN339" s="80"/>
      <c r="AO339" s="80"/>
      <c r="AP339" s="80"/>
      <c r="AQ339" s="80"/>
      <c r="AR339" s="80"/>
      <c r="AS339" s="80"/>
    </row>
    <row r="340" spans="2:45">
      <c r="B340" s="19"/>
      <c r="C340" s="19"/>
      <c r="D340" s="19"/>
      <c r="E340" s="19"/>
      <c r="F340" s="19"/>
      <c r="G340" s="19"/>
      <c r="H340" s="322"/>
      <c r="I340" s="263"/>
      <c r="J340" s="323"/>
      <c r="K340" s="323"/>
      <c r="L340" s="323"/>
      <c r="M340" s="263"/>
      <c r="N340" s="263"/>
      <c r="O340" s="263"/>
      <c r="P340" s="263"/>
      <c r="Q340" s="263"/>
      <c r="R340" s="263"/>
      <c r="S340" s="263"/>
      <c r="T340" s="263"/>
      <c r="U340" s="263"/>
      <c r="V340" s="263"/>
      <c r="W340" s="263"/>
      <c r="X340" s="263"/>
      <c r="Y340" s="324"/>
      <c r="Z340" s="324"/>
      <c r="AA340" s="264"/>
      <c r="AB340" s="264"/>
      <c r="AC340" s="264"/>
      <c r="AD340" s="269"/>
      <c r="AE340" s="19"/>
      <c r="AF340" s="19"/>
      <c r="AG340" s="19"/>
      <c r="AH340" s="19"/>
      <c r="AI340" s="19"/>
      <c r="AJ340" s="19"/>
      <c r="AK340" s="19"/>
      <c r="AL340" s="44"/>
      <c r="AM340" s="44"/>
      <c r="AN340" s="80"/>
      <c r="AO340" s="80"/>
      <c r="AP340" s="80"/>
      <c r="AQ340" s="80"/>
      <c r="AR340" s="80"/>
      <c r="AS340" s="80"/>
    </row>
    <row r="341" spans="2:45">
      <c r="B341" s="19"/>
      <c r="C341" s="19"/>
      <c r="D341" s="19"/>
      <c r="E341" s="19"/>
      <c r="F341" s="19"/>
      <c r="G341" s="19"/>
      <c r="H341" s="321" t="e">
        <f>BW194</f>
        <v>#N/A</v>
      </c>
      <c r="I341" s="263"/>
      <c r="J341" s="323" t="e">
        <f>BX194</f>
        <v>#N/A</v>
      </c>
      <c r="K341" s="323"/>
      <c r="L341" s="323"/>
      <c r="M341" s="263" t="e">
        <f>BY194 &amp; CB194</f>
        <v>#N/A</v>
      </c>
      <c r="N341" s="263"/>
      <c r="O341" s="263"/>
      <c r="P341" s="263"/>
      <c r="Q341" s="263" t="e">
        <f>BZ194 &amp; CB194</f>
        <v>#N/A</v>
      </c>
      <c r="R341" s="263"/>
      <c r="S341" s="263"/>
      <c r="T341" s="263"/>
      <c r="U341" s="263" t="e">
        <f>CA194 &amp; CB194</f>
        <v>#N/A</v>
      </c>
      <c r="V341" s="263"/>
      <c r="W341" s="263"/>
      <c r="X341" s="263"/>
      <c r="Y341" s="324" t="e">
        <f>CC194</f>
        <v>#N/A</v>
      </c>
      <c r="Z341" s="324"/>
      <c r="AA341" s="264" t="e">
        <f>CD194</f>
        <v>#N/A</v>
      </c>
      <c r="AB341" s="264"/>
      <c r="AC341" s="264" t="e">
        <f>CE194</f>
        <v>#N/A</v>
      </c>
      <c r="AD341" s="269"/>
      <c r="AE341" s="19"/>
      <c r="AF341" s="19"/>
      <c r="AG341" s="19"/>
      <c r="AH341" s="19"/>
      <c r="AI341" s="19"/>
      <c r="AJ341" s="19"/>
      <c r="AK341" s="19"/>
      <c r="AL341" s="44"/>
      <c r="AM341" s="44"/>
      <c r="AN341" s="80"/>
      <c r="AO341" s="80"/>
      <c r="AP341" s="80"/>
      <c r="AQ341" s="80"/>
      <c r="AR341" s="80"/>
      <c r="AS341" s="80"/>
    </row>
    <row r="342" spans="2:45">
      <c r="B342" s="19"/>
      <c r="C342" s="19"/>
      <c r="D342" s="19"/>
      <c r="E342" s="19"/>
      <c r="F342" s="19"/>
      <c r="G342" s="19"/>
      <c r="H342" s="322"/>
      <c r="I342" s="263"/>
      <c r="J342" s="323"/>
      <c r="K342" s="323"/>
      <c r="L342" s="323"/>
      <c r="M342" s="263"/>
      <c r="N342" s="263"/>
      <c r="O342" s="263"/>
      <c r="P342" s="263"/>
      <c r="Q342" s="263"/>
      <c r="R342" s="263"/>
      <c r="S342" s="263"/>
      <c r="T342" s="263"/>
      <c r="U342" s="263"/>
      <c r="V342" s="263"/>
      <c r="W342" s="263"/>
      <c r="X342" s="263"/>
      <c r="Y342" s="324"/>
      <c r="Z342" s="324"/>
      <c r="AA342" s="264"/>
      <c r="AB342" s="264"/>
      <c r="AC342" s="264"/>
      <c r="AD342" s="269"/>
      <c r="AE342" s="19"/>
      <c r="AF342" s="19"/>
      <c r="AG342" s="19"/>
      <c r="AH342" s="19"/>
      <c r="AI342" s="19"/>
      <c r="AJ342" s="19"/>
      <c r="AK342" s="19"/>
      <c r="AL342" s="44"/>
      <c r="AM342" s="44"/>
      <c r="AN342" s="80"/>
      <c r="AO342" s="80"/>
      <c r="AP342" s="80"/>
      <c r="AQ342" s="80"/>
      <c r="AR342" s="80"/>
      <c r="AS342" s="80"/>
    </row>
    <row r="343" spans="2:45">
      <c r="B343" s="19"/>
      <c r="C343" s="19"/>
      <c r="D343" s="19"/>
      <c r="E343" s="19"/>
      <c r="F343" s="19"/>
      <c r="G343" s="19"/>
      <c r="H343" s="321" t="e">
        <f>BW195</f>
        <v>#N/A</v>
      </c>
      <c r="I343" s="263"/>
      <c r="J343" s="323" t="e">
        <f>BX195</f>
        <v>#N/A</v>
      </c>
      <c r="K343" s="323"/>
      <c r="L343" s="323"/>
      <c r="M343" s="263" t="e">
        <f>BY195 &amp; CB195</f>
        <v>#N/A</v>
      </c>
      <c r="N343" s="263"/>
      <c r="O343" s="263"/>
      <c r="P343" s="263"/>
      <c r="Q343" s="263" t="e">
        <f>BZ195 &amp; CB195</f>
        <v>#N/A</v>
      </c>
      <c r="R343" s="263"/>
      <c r="S343" s="263"/>
      <c r="T343" s="263"/>
      <c r="U343" s="263" t="e">
        <f>CA195 &amp; CB195</f>
        <v>#N/A</v>
      </c>
      <c r="V343" s="263"/>
      <c r="W343" s="263"/>
      <c r="X343" s="263"/>
      <c r="Y343" s="324" t="e">
        <f>CC195</f>
        <v>#N/A</v>
      </c>
      <c r="Z343" s="324"/>
      <c r="AA343" s="264" t="e">
        <f>CD195</f>
        <v>#N/A</v>
      </c>
      <c r="AB343" s="264"/>
      <c r="AC343" s="264" t="e">
        <f>CE195</f>
        <v>#N/A</v>
      </c>
      <c r="AD343" s="269"/>
      <c r="AE343" s="19"/>
      <c r="AF343" s="19"/>
      <c r="AG343" s="19"/>
      <c r="AH343" s="19"/>
      <c r="AI343" s="19"/>
      <c r="AJ343" s="19"/>
      <c r="AK343" s="19"/>
      <c r="AL343" s="44"/>
      <c r="AM343" s="44"/>
      <c r="AN343" s="80"/>
      <c r="AO343" s="80"/>
      <c r="AP343" s="80"/>
      <c r="AQ343" s="80"/>
      <c r="AR343" s="80"/>
      <c r="AS343" s="80"/>
    </row>
    <row r="344" spans="2:45">
      <c r="B344" s="19"/>
      <c r="C344" s="19"/>
      <c r="D344" s="19"/>
      <c r="E344" s="19"/>
      <c r="F344" s="19"/>
      <c r="G344" s="19"/>
      <c r="H344" s="322"/>
      <c r="I344" s="263"/>
      <c r="J344" s="323"/>
      <c r="K344" s="323"/>
      <c r="L344" s="323"/>
      <c r="M344" s="263"/>
      <c r="N344" s="263"/>
      <c r="O344" s="263"/>
      <c r="P344" s="263"/>
      <c r="Q344" s="263"/>
      <c r="R344" s="263"/>
      <c r="S344" s="263"/>
      <c r="T344" s="263"/>
      <c r="U344" s="263"/>
      <c r="V344" s="263"/>
      <c r="W344" s="263"/>
      <c r="X344" s="263"/>
      <c r="Y344" s="324"/>
      <c r="Z344" s="324"/>
      <c r="AA344" s="264"/>
      <c r="AB344" s="264"/>
      <c r="AC344" s="264"/>
      <c r="AD344" s="269"/>
      <c r="AE344" s="19"/>
      <c r="AF344" s="19"/>
      <c r="AG344" s="19"/>
      <c r="AH344" s="19"/>
      <c r="AI344" s="19"/>
      <c r="AJ344" s="19"/>
      <c r="AK344" s="19"/>
      <c r="AL344" s="44"/>
      <c r="AM344" s="44"/>
      <c r="AN344" s="80"/>
      <c r="AO344" s="80"/>
      <c r="AP344" s="80"/>
      <c r="AQ344" s="80"/>
      <c r="AR344" s="80"/>
      <c r="AS344" s="80"/>
    </row>
    <row r="345" spans="2:45">
      <c r="B345" s="19"/>
      <c r="C345" s="19"/>
      <c r="D345" s="19"/>
      <c r="E345" s="19"/>
      <c r="F345" s="19"/>
      <c r="G345" s="19"/>
      <c r="H345" s="321" t="e">
        <f>BW196</f>
        <v>#N/A</v>
      </c>
      <c r="I345" s="263"/>
      <c r="J345" s="323" t="e">
        <f>BX196</f>
        <v>#N/A</v>
      </c>
      <c r="K345" s="323"/>
      <c r="L345" s="323"/>
      <c r="M345" s="263" t="e">
        <f>BY196 &amp; CB196</f>
        <v>#N/A</v>
      </c>
      <c r="N345" s="263"/>
      <c r="O345" s="263"/>
      <c r="P345" s="263"/>
      <c r="Q345" s="263" t="e">
        <f>BZ196 &amp; CB196</f>
        <v>#N/A</v>
      </c>
      <c r="R345" s="263"/>
      <c r="S345" s="263"/>
      <c r="T345" s="263"/>
      <c r="U345" s="263" t="e">
        <f>CA196 &amp; CB196</f>
        <v>#N/A</v>
      </c>
      <c r="V345" s="263"/>
      <c r="W345" s="263"/>
      <c r="X345" s="263"/>
      <c r="Y345" s="324" t="e">
        <f>CC196</f>
        <v>#N/A</v>
      </c>
      <c r="Z345" s="324"/>
      <c r="AA345" s="264" t="e">
        <f>CD196</f>
        <v>#N/A</v>
      </c>
      <c r="AB345" s="264"/>
      <c r="AC345" s="264" t="e">
        <f>CE196</f>
        <v>#N/A</v>
      </c>
      <c r="AD345" s="269"/>
      <c r="AE345" s="19"/>
      <c r="AF345" s="19"/>
      <c r="AG345" s="19"/>
      <c r="AH345" s="19"/>
      <c r="AI345" s="19"/>
      <c r="AJ345" s="19"/>
      <c r="AK345" s="19"/>
      <c r="AL345" s="44"/>
      <c r="AM345" s="44"/>
      <c r="AN345" s="80"/>
      <c r="AO345" s="80"/>
      <c r="AP345" s="80"/>
      <c r="AQ345" s="80"/>
      <c r="AR345" s="80"/>
      <c r="AS345" s="80"/>
    </row>
    <row r="346" spans="2:45" ht="17.25" thickBot="1">
      <c r="B346" s="19"/>
      <c r="C346" s="19"/>
      <c r="D346" s="19"/>
      <c r="E346" s="19"/>
      <c r="F346" s="19"/>
      <c r="G346" s="19"/>
      <c r="H346" s="473"/>
      <c r="I346" s="336"/>
      <c r="J346" s="474"/>
      <c r="K346" s="474"/>
      <c r="L346" s="474"/>
      <c r="M346" s="336"/>
      <c r="N346" s="336"/>
      <c r="O346" s="336"/>
      <c r="P346" s="336"/>
      <c r="Q346" s="336"/>
      <c r="R346" s="336"/>
      <c r="S346" s="336"/>
      <c r="T346" s="336"/>
      <c r="U346" s="336"/>
      <c r="V346" s="336"/>
      <c r="W346" s="336"/>
      <c r="X346" s="336"/>
      <c r="Y346" s="350"/>
      <c r="Z346" s="350"/>
      <c r="AA346" s="328"/>
      <c r="AB346" s="328"/>
      <c r="AC346" s="328"/>
      <c r="AD346" s="329"/>
      <c r="AE346" s="19"/>
      <c r="AF346" s="19"/>
      <c r="AG346" s="19"/>
      <c r="AH346" s="19"/>
      <c r="AI346" s="19"/>
      <c r="AJ346" s="19"/>
      <c r="AK346" s="19"/>
      <c r="AL346" s="44"/>
      <c r="AM346" s="44"/>
      <c r="AN346" s="80"/>
      <c r="AO346" s="80"/>
      <c r="AP346" s="80"/>
      <c r="AQ346" s="80"/>
      <c r="AR346" s="80"/>
      <c r="AS346" s="80"/>
    </row>
    <row r="347" spans="2:45" ht="17.25" thickBot="1">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S347" s="60"/>
    </row>
    <row r="348" spans="2:45" ht="17.25" thickBot="1">
      <c r="B348" s="19"/>
      <c r="C348" s="19" t="s">
        <v>41</v>
      </c>
      <c r="D348" s="19"/>
      <c r="E348" s="19"/>
      <c r="F348" s="19"/>
      <c r="G348" s="19"/>
      <c r="H348" s="331" t="s">
        <v>574</v>
      </c>
      <c r="I348" s="332"/>
      <c r="J348" s="332"/>
      <c r="K348" s="332"/>
      <c r="L348" s="332"/>
      <c r="M348" s="332"/>
      <c r="N348" s="332"/>
      <c r="O348" s="332"/>
      <c r="P348" s="332"/>
      <c r="Q348" s="332"/>
      <c r="R348" s="332"/>
      <c r="S348" s="332"/>
      <c r="T348" s="332"/>
      <c r="U348" s="332"/>
      <c r="V348" s="332"/>
      <c r="W348" s="332"/>
      <c r="X348" s="332"/>
      <c r="Y348" s="332"/>
      <c r="Z348" s="332"/>
      <c r="AA348" s="332"/>
      <c r="AB348" s="332"/>
      <c r="AC348" s="332"/>
      <c r="AD348" s="333"/>
      <c r="AE348" s="19"/>
      <c r="AF348" s="19"/>
      <c r="AG348" s="19"/>
      <c r="AH348" s="19"/>
      <c r="AI348" s="19"/>
      <c r="AJ348" s="19"/>
      <c r="AK348" s="19"/>
      <c r="AL348" s="19"/>
      <c r="AM348" s="19"/>
    </row>
    <row r="349" spans="2:45" ht="17.25" thickBot="1">
      <c r="B349" s="19"/>
      <c r="C349" s="19"/>
      <c r="D349" s="19"/>
      <c r="E349" s="19"/>
      <c r="F349" s="19"/>
      <c r="G349" s="19"/>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19"/>
      <c r="AF349" s="19"/>
      <c r="AG349" s="19"/>
      <c r="AH349" s="19"/>
      <c r="AI349" s="19"/>
      <c r="AJ349" s="19"/>
      <c r="AK349" s="19"/>
      <c r="AL349" s="19"/>
      <c r="AM349" s="19"/>
    </row>
    <row r="350" spans="2:45" ht="17.25" thickBot="1">
      <c r="B350" s="19"/>
      <c r="C350" s="19" t="s">
        <v>42</v>
      </c>
      <c r="D350" s="19"/>
      <c r="E350" s="19"/>
      <c r="F350" s="19"/>
      <c r="G350" s="19"/>
      <c r="H350" s="331" t="s">
        <v>574</v>
      </c>
      <c r="I350" s="332"/>
      <c r="J350" s="332"/>
      <c r="K350" s="332"/>
      <c r="L350" s="332"/>
      <c r="M350" s="332"/>
      <c r="N350" s="332"/>
      <c r="O350" s="332"/>
      <c r="P350" s="332"/>
      <c r="Q350" s="332"/>
      <c r="R350" s="332"/>
      <c r="S350" s="332"/>
      <c r="T350" s="332"/>
      <c r="U350" s="332"/>
      <c r="V350" s="332"/>
      <c r="W350" s="332"/>
      <c r="X350" s="332"/>
      <c r="Y350" s="332"/>
      <c r="Z350" s="332"/>
      <c r="AA350" s="332"/>
      <c r="AB350" s="332"/>
      <c r="AC350" s="332"/>
      <c r="AD350" s="333"/>
      <c r="AE350" s="19"/>
      <c r="AF350" s="19"/>
      <c r="AG350" s="19"/>
      <c r="AH350" s="19"/>
      <c r="AI350" s="19"/>
      <c r="AJ350" s="19"/>
      <c r="AK350" s="19"/>
      <c r="AL350" s="19"/>
      <c r="AM350" s="19"/>
    </row>
    <row r="351" spans="2:45">
      <c r="B351" s="19"/>
      <c r="C351" s="19"/>
      <c r="D351" s="19"/>
      <c r="E351" s="19"/>
      <c r="F351" s="19"/>
      <c r="G351" s="19"/>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19"/>
      <c r="AM351" s="19"/>
    </row>
    <row r="352" spans="2:45">
      <c r="B352" s="19"/>
      <c r="C352" s="19"/>
      <c r="D352" s="19"/>
      <c r="E352" s="19"/>
      <c r="F352" s="19"/>
      <c r="G352" s="19"/>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19"/>
      <c r="AM352" s="19"/>
    </row>
    <row r="353" spans="2:49" ht="17.25" thickBot="1">
      <c r="B353" s="56" t="s">
        <v>253</v>
      </c>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row>
    <row r="354" spans="2:49">
      <c r="B354" s="19"/>
      <c r="C354" s="19" t="s">
        <v>43</v>
      </c>
      <c r="D354" s="19"/>
      <c r="E354" s="19"/>
      <c r="F354" s="19"/>
      <c r="G354" s="19"/>
      <c r="H354" s="285" t="s">
        <v>169</v>
      </c>
      <c r="I354" s="286"/>
      <c r="J354" s="286"/>
      <c r="K354" s="286"/>
      <c r="L354" s="286"/>
      <c r="M354" s="286"/>
      <c r="N354" s="286"/>
      <c r="O354" s="289" t="s">
        <v>168</v>
      </c>
      <c r="P354" s="286"/>
      <c r="Q354" s="286"/>
      <c r="R354" s="286"/>
      <c r="S354" s="286"/>
      <c r="T354" s="286"/>
      <c r="U354" s="286"/>
      <c r="V354" s="286"/>
      <c r="W354" s="286"/>
      <c r="X354" s="289" t="s">
        <v>63</v>
      </c>
      <c r="Y354" s="286"/>
      <c r="Z354" s="286"/>
      <c r="AA354" s="286"/>
      <c r="AB354" s="286"/>
      <c r="AC354" s="286"/>
      <c r="AD354" s="303"/>
      <c r="AE354" s="19"/>
      <c r="AF354" s="376" t="s">
        <v>251</v>
      </c>
      <c r="AG354" s="377"/>
      <c r="AH354" s="378"/>
      <c r="AI354" s="19"/>
      <c r="AJ354" s="19"/>
      <c r="AK354" s="19"/>
      <c r="AL354" s="19"/>
      <c r="AM354" s="19"/>
    </row>
    <row r="355" spans="2:49" ht="17.25" thickBot="1">
      <c r="B355" s="19"/>
      <c r="C355" s="19"/>
      <c r="D355" s="19"/>
      <c r="E355" s="19"/>
      <c r="F355" s="19"/>
      <c r="G355" s="19"/>
      <c r="H355" s="287"/>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304"/>
      <c r="AE355" s="19"/>
      <c r="AF355" s="379"/>
      <c r="AG355" s="380"/>
      <c r="AH355" s="381"/>
      <c r="AI355" s="19"/>
      <c r="AJ355" s="19"/>
      <c r="AK355" s="19"/>
      <c r="AL355" s="19"/>
      <c r="AM355" s="19"/>
      <c r="AS355" s="59"/>
    </row>
    <row r="356" spans="2:49">
      <c r="B356" s="19"/>
      <c r="C356" s="19"/>
      <c r="D356" s="19"/>
      <c r="E356" s="19"/>
      <c r="F356" s="19"/>
      <c r="G356" s="19"/>
      <c r="H356" s="472">
        <f>H21</f>
        <v>982400</v>
      </c>
      <c r="I356" s="351"/>
      <c r="J356" s="351"/>
      <c r="K356" s="351"/>
      <c r="L356" s="351"/>
      <c r="M356" s="351"/>
      <c r="N356" s="351"/>
      <c r="O356" s="351">
        <f>H19</f>
        <v>491200</v>
      </c>
      <c r="P356" s="351"/>
      <c r="Q356" s="351"/>
      <c r="R356" s="351"/>
      <c r="S356" s="351"/>
      <c r="T356" s="351"/>
      <c r="U356" s="351"/>
      <c r="V356" s="351"/>
      <c r="W356" s="351"/>
      <c r="X356" s="351">
        <f>H20</f>
        <v>491200</v>
      </c>
      <c r="Y356" s="351"/>
      <c r="Z356" s="351"/>
      <c r="AA356" s="351"/>
      <c r="AB356" s="351"/>
      <c r="AC356" s="351"/>
      <c r="AD356" s="352"/>
      <c r="AE356" s="19"/>
      <c r="AF356" s="382" t="str">
        <f>IF(H356=AB444,"일치","불일치")</f>
        <v>일치</v>
      </c>
      <c r="AG356" s="383"/>
      <c r="AH356" s="384"/>
      <c r="AI356" s="19"/>
      <c r="AJ356" s="19"/>
      <c r="AK356" s="19"/>
      <c r="AL356" s="19"/>
      <c r="AM356" s="19"/>
      <c r="AS356" s="59"/>
    </row>
    <row r="357" spans="2:49" ht="17.25" thickBot="1">
      <c r="B357" s="19"/>
      <c r="C357" s="19"/>
      <c r="D357" s="19"/>
      <c r="E357" s="19"/>
      <c r="F357" s="19"/>
      <c r="G357" s="19"/>
      <c r="H357" s="682">
        <v>1</v>
      </c>
      <c r="I357" s="683"/>
      <c r="J357" s="683"/>
      <c r="K357" s="683"/>
      <c r="L357" s="683"/>
      <c r="M357" s="683"/>
      <c r="N357" s="683"/>
      <c r="O357" s="683">
        <f>O356/H356</f>
        <v>0.5</v>
      </c>
      <c r="P357" s="683"/>
      <c r="Q357" s="683"/>
      <c r="R357" s="683"/>
      <c r="S357" s="683"/>
      <c r="T357" s="683"/>
      <c r="U357" s="683"/>
      <c r="V357" s="683"/>
      <c r="W357" s="683"/>
      <c r="X357" s="683">
        <f>X356/H356</f>
        <v>0.5</v>
      </c>
      <c r="Y357" s="683"/>
      <c r="Z357" s="683"/>
      <c r="AA357" s="683"/>
      <c r="AB357" s="683"/>
      <c r="AC357" s="683"/>
      <c r="AD357" s="684"/>
      <c r="AE357" s="19"/>
      <c r="AF357" s="385"/>
      <c r="AG357" s="386"/>
      <c r="AH357" s="387"/>
      <c r="AI357" s="19"/>
      <c r="AJ357" s="19"/>
      <c r="AK357" s="19"/>
      <c r="AL357" s="19"/>
      <c r="AM357" s="19"/>
      <c r="AS357" s="60"/>
    </row>
    <row r="358" spans="2:4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S358" s="59"/>
    </row>
    <row r="359" spans="2:49" ht="17.25" thickBot="1">
      <c r="B359" s="19"/>
      <c r="C359" s="19" t="s">
        <v>45</v>
      </c>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46" t="s">
        <v>179</v>
      </c>
      <c r="AE359" s="19"/>
      <c r="AF359" s="19"/>
      <c r="AG359" s="19"/>
      <c r="AH359" s="19"/>
      <c r="AI359" s="19"/>
      <c r="AJ359" s="19"/>
      <c r="AK359" s="19"/>
      <c r="AL359" s="19"/>
      <c r="AM359" s="19"/>
      <c r="AS359" s="60"/>
    </row>
    <row r="360" spans="2:49" ht="17.25" thickBot="1">
      <c r="B360" s="19"/>
      <c r="C360" s="19"/>
      <c r="D360" s="19"/>
      <c r="E360" s="19"/>
      <c r="F360" s="19"/>
      <c r="G360" s="19"/>
      <c r="H360" s="19"/>
      <c r="I360" s="349" t="s">
        <v>64</v>
      </c>
      <c r="J360" s="325"/>
      <c r="K360" s="325" t="s">
        <v>65</v>
      </c>
      <c r="L360" s="325"/>
      <c r="M360" s="325"/>
      <c r="N360" s="325" t="s">
        <v>46</v>
      </c>
      <c r="O360" s="325"/>
      <c r="P360" s="325"/>
      <c r="Q360" s="325"/>
      <c r="R360" s="325" t="s">
        <v>47</v>
      </c>
      <c r="S360" s="325"/>
      <c r="T360" s="325"/>
      <c r="U360" s="325"/>
      <c r="V360" s="325"/>
      <c r="W360" s="325"/>
      <c r="X360" s="325"/>
      <c r="Y360" s="325"/>
      <c r="Z360" s="325"/>
      <c r="AA360" s="325"/>
      <c r="AB360" s="325" t="s">
        <v>48</v>
      </c>
      <c r="AC360" s="325"/>
      <c r="AD360" s="325"/>
      <c r="AE360" s="327"/>
      <c r="AF360" s="35"/>
      <c r="AG360" s="35"/>
      <c r="AH360" s="35"/>
      <c r="AI360" s="35"/>
      <c r="AJ360" s="35"/>
      <c r="AK360" s="35"/>
      <c r="AL360" s="35"/>
      <c r="AM360" s="35"/>
      <c r="AO360" s="367" t="s">
        <v>250</v>
      </c>
      <c r="AP360" s="368"/>
      <c r="AQ360" s="368"/>
      <c r="AR360" s="368"/>
      <c r="AS360" s="368"/>
      <c r="AT360" s="368"/>
      <c r="AU360" s="368"/>
      <c r="AV360" s="368"/>
      <c r="AW360" s="369"/>
    </row>
    <row r="361" spans="2:49" ht="16.5" customHeight="1">
      <c r="B361" s="19"/>
      <c r="C361" s="19"/>
      <c r="D361" s="19"/>
      <c r="E361" s="19"/>
      <c r="F361" s="19"/>
      <c r="G361" s="19"/>
      <c r="H361" s="47">
        <f>IF(K361="자산취득비",COUNTIF(K361,"자산취득비"),IF(K361="설계비",(COUNTIF($K$361:$M$420,"자산취득비")+1)+COUNTIF(K361,"설계비"),IF(K361="시설비",(COUNTIF($K$361:$M$420,"자산취득비")+1)+(COUNTIF($K$361:$M$420,"설계비")+1)+COUNTIF(K361,"시설비"),"")))</f>
        <v>3</v>
      </c>
      <c r="I361" s="337" t="str">
        <f>IF(K361="자산취득비","유형자산",IF(K361="설계비","건설비",IF(K361="시설비","건설비","")))</f>
        <v>건설비</v>
      </c>
      <c r="J361" s="338"/>
      <c r="K361" s="343" t="s">
        <v>703</v>
      </c>
      <c r="L361" s="343"/>
      <c r="M361" s="343"/>
      <c r="N361" s="355" t="str">
        <f>IFERROR($CV$167,"")</f>
        <v>폼패드 성형공정 온조기 히터시설</v>
      </c>
      <c r="O361" s="356"/>
      <c r="P361" s="356"/>
      <c r="Q361" s="357"/>
      <c r="R361" s="276" t="s">
        <v>499</v>
      </c>
      <c r="S361" s="277"/>
      <c r="T361" s="282">
        <v>140</v>
      </c>
      <c r="U361" s="270" t="s">
        <v>716</v>
      </c>
      <c r="V361" s="271"/>
      <c r="W361" s="271"/>
      <c r="X361" s="271"/>
      <c r="Y361" s="271"/>
      <c r="Z361" s="271"/>
      <c r="AA361" s="272"/>
      <c r="AB361" s="345">
        <v>58000</v>
      </c>
      <c r="AC361" s="345"/>
      <c r="AD361" s="345"/>
      <c r="AE361" s="346"/>
      <c r="AF361" s="35"/>
      <c r="AG361" s="47" t="s">
        <v>236</v>
      </c>
      <c r="AH361" s="35"/>
      <c r="AI361" s="35"/>
      <c r="AJ361" s="35"/>
      <c r="AK361" s="35"/>
      <c r="AL361" s="35"/>
      <c r="AM361" s="35"/>
      <c r="AO361" s="370"/>
      <c r="AP361" s="371"/>
      <c r="AQ361" s="371"/>
      <c r="AR361" s="371"/>
      <c r="AS361" s="371"/>
      <c r="AT361" s="371"/>
      <c r="AU361" s="371"/>
      <c r="AV361" s="371"/>
      <c r="AW361" s="372"/>
    </row>
    <row r="362" spans="2:49" ht="16.5" customHeight="1">
      <c r="B362" s="19"/>
      <c r="C362" s="19"/>
      <c r="D362" s="19"/>
      <c r="E362" s="19"/>
      <c r="F362" s="19"/>
      <c r="G362" s="19"/>
      <c r="H362" s="47" t="str">
        <f>IF(K362="자산취득비",COUNTIF($K$361:K362,"자산취득비"),IF(K362="설계비",(COUNTIF($K$361:$M$420,"자산취득비")+1)+COUNTIF($K$361:K362,"설계비"),IF(K362="시설비",(COUNTIF($K$361:$M$420,"자산취득비")+1)+(COUNTIF($K$361:$M$420,"설계비")+1)+COUNTIF($K$361:K362,"시설비"),"")))</f>
        <v/>
      </c>
      <c r="I362" s="339" t="str">
        <f t="shared" ref="I362:I420" si="424">IF(K362="자산취득비","유형자산",IF(K362="설계비","건설비",IF(K362="시설비","건설비","")))</f>
        <v/>
      </c>
      <c r="J362" s="340"/>
      <c r="K362" s="261"/>
      <c r="L362" s="261"/>
      <c r="M362" s="261"/>
      <c r="N362" s="358" t="str">
        <f t="shared" ref="N362:N363" si="425">IFERROR($CV$167,"")</f>
        <v>폼패드 성형공정 온조기 히터시설</v>
      </c>
      <c r="O362" s="359"/>
      <c r="P362" s="359"/>
      <c r="Q362" s="360"/>
      <c r="R362" s="278"/>
      <c r="S362" s="279"/>
      <c r="T362" s="283"/>
      <c r="U362" s="261"/>
      <c r="V362" s="261"/>
      <c r="W362" s="261"/>
      <c r="X362" s="261"/>
      <c r="Y362" s="261"/>
      <c r="Z362" s="261"/>
      <c r="AA362" s="261"/>
      <c r="AB362" s="347"/>
      <c r="AC362" s="347"/>
      <c r="AD362" s="347"/>
      <c r="AE362" s="348"/>
      <c r="AF362" s="35"/>
      <c r="AG362" s="57">
        <f>MAX(H361:H444)</f>
        <v>16</v>
      </c>
      <c r="AH362" s="49"/>
      <c r="AI362" s="49"/>
      <c r="AJ362" s="49"/>
      <c r="AK362" s="49"/>
      <c r="AL362" s="35"/>
      <c r="AM362" s="35"/>
      <c r="AO362" s="370"/>
      <c r="AP362" s="371"/>
      <c r="AQ362" s="371"/>
      <c r="AR362" s="371"/>
      <c r="AS362" s="371"/>
      <c r="AT362" s="371"/>
      <c r="AU362" s="371"/>
      <c r="AV362" s="371"/>
      <c r="AW362" s="372"/>
    </row>
    <row r="363" spans="2:49" ht="17.25" customHeight="1" thickBot="1">
      <c r="B363" s="19"/>
      <c r="C363" s="19"/>
      <c r="D363" s="19"/>
      <c r="E363" s="19"/>
      <c r="F363" s="19"/>
      <c r="G363" s="19"/>
      <c r="H363" s="47" t="str">
        <f>IF(K363="자산취득비",COUNTIF($K$361:K363,"자산취득비"),IF(K363="설계비",(COUNTIF($K$361:$M$420,"자산취득비")+1)+COUNTIF($K$361:K363,"설계비"),IF(K363="시설비",(COUNTIF($K$361:$M$420,"자산취득비")+1)+(COUNTIF($K$361:$M$420,"설계비")+1)+COUNTIF($K$361:K363,"시설비"),"")))</f>
        <v/>
      </c>
      <c r="I363" s="341" t="str">
        <f t="shared" si="424"/>
        <v/>
      </c>
      <c r="J363" s="342"/>
      <c r="K363" s="344"/>
      <c r="L363" s="344"/>
      <c r="M363" s="344"/>
      <c r="N363" s="361" t="str">
        <f t="shared" si="425"/>
        <v>폼패드 성형공정 온조기 히터시설</v>
      </c>
      <c r="O363" s="362"/>
      <c r="P363" s="362"/>
      <c r="Q363" s="363"/>
      <c r="R363" s="280"/>
      <c r="S363" s="281"/>
      <c r="T363" s="284"/>
      <c r="U363" s="273"/>
      <c r="V363" s="274"/>
      <c r="W363" s="274"/>
      <c r="X363" s="274"/>
      <c r="Y363" s="274"/>
      <c r="Z363" s="274"/>
      <c r="AA363" s="275"/>
      <c r="AB363" s="353"/>
      <c r="AC363" s="353"/>
      <c r="AD363" s="353"/>
      <c r="AE363" s="354"/>
      <c r="AF363" s="35"/>
      <c r="AG363" s="49"/>
      <c r="AH363" s="49"/>
      <c r="AI363" s="49"/>
      <c r="AJ363" s="49"/>
      <c r="AK363" s="49"/>
      <c r="AL363" s="35"/>
      <c r="AM363" s="35"/>
      <c r="AO363" s="370"/>
      <c r="AP363" s="371"/>
      <c r="AQ363" s="371"/>
      <c r="AR363" s="371"/>
      <c r="AS363" s="371"/>
      <c r="AT363" s="371"/>
      <c r="AU363" s="371"/>
      <c r="AV363" s="371"/>
      <c r="AW363" s="372"/>
    </row>
    <row r="364" spans="2:49" ht="16.5" customHeight="1">
      <c r="B364" s="19"/>
      <c r="C364" s="19"/>
      <c r="D364" s="19"/>
      <c r="E364" s="19"/>
      <c r="F364" s="19"/>
      <c r="G364" s="19"/>
      <c r="H364" s="47">
        <f>IF(K364="자산취득비",COUNTIF($K$361:K364,"자산취득비"),IF(K364="설계비",(COUNTIF($K$361:$M$420,"자산취득비")+1)+COUNTIF($K$361:K364,"설계비"),IF(K364="시설비",(COUNTIF($K$361:$M$420,"자산취득비")+1)+(COUNTIF($K$361:$M$420,"설계비")+1)+COUNTIF($K$361:K364,"시설비"),"")))</f>
        <v>4</v>
      </c>
      <c r="I364" s="337" t="str">
        <f t="shared" si="424"/>
        <v>건설비</v>
      </c>
      <c r="J364" s="338"/>
      <c r="K364" s="343" t="s">
        <v>703</v>
      </c>
      <c r="L364" s="343"/>
      <c r="M364" s="343"/>
      <c r="N364" s="685" t="str">
        <f>IFERROR($CV$168,"")</f>
        <v>고효율 펌프 가변제어 장치</v>
      </c>
      <c r="O364" s="686"/>
      <c r="P364" s="686"/>
      <c r="Q364" s="687"/>
      <c r="R364" s="276" t="s">
        <v>499</v>
      </c>
      <c r="S364" s="277"/>
      <c r="T364" s="282">
        <v>19</v>
      </c>
      <c r="U364" s="270" t="s">
        <v>715</v>
      </c>
      <c r="V364" s="271"/>
      <c r="W364" s="271"/>
      <c r="X364" s="271"/>
      <c r="Y364" s="271"/>
      <c r="Z364" s="271"/>
      <c r="AA364" s="272"/>
      <c r="AB364" s="345">
        <v>62500</v>
      </c>
      <c r="AC364" s="345"/>
      <c r="AD364" s="345"/>
      <c r="AE364" s="346"/>
      <c r="AF364" s="35"/>
      <c r="AG364" s="49"/>
      <c r="AH364" s="49"/>
      <c r="AI364" s="49"/>
      <c r="AJ364" s="49"/>
      <c r="AK364" s="49"/>
      <c r="AL364" s="35"/>
      <c r="AM364" s="35"/>
      <c r="AO364" s="370"/>
      <c r="AP364" s="371"/>
      <c r="AQ364" s="371"/>
      <c r="AR364" s="371"/>
      <c r="AS364" s="371"/>
      <c r="AT364" s="371"/>
      <c r="AU364" s="371"/>
      <c r="AV364" s="371"/>
      <c r="AW364" s="372"/>
    </row>
    <row r="365" spans="2:49" ht="16.5" customHeight="1">
      <c r="B365" s="19"/>
      <c r="C365" s="19"/>
      <c r="D365" s="19"/>
      <c r="E365" s="19"/>
      <c r="F365" s="19"/>
      <c r="G365" s="19"/>
      <c r="H365" s="47" t="str">
        <f>IF(K365="자산취득비",COUNTIF($K$361:K365,"자산취득비"),IF(K365="설계비",(COUNTIF($K$361:$M$420,"자산취득비")+1)+COUNTIF($K$361:K365,"설계비"),IF(K365="시설비",(COUNTIF($K$361:$M$420,"자산취득비")+1)+(COUNTIF($K$361:$M$420,"설계비")+1)+COUNTIF($K$361:K365,"시설비"),"")))</f>
        <v/>
      </c>
      <c r="I365" s="339" t="str">
        <f t="shared" si="424"/>
        <v/>
      </c>
      <c r="J365" s="340"/>
      <c r="K365" s="261"/>
      <c r="L365" s="261"/>
      <c r="M365" s="261"/>
      <c r="N365" s="688" t="str">
        <f t="shared" ref="N365:N366" si="426">IFERROR($CV$168,"")</f>
        <v>고효율 펌프 가변제어 장치</v>
      </c>
      <c r="O365" s="689"/>
      <c r="P365" s="689"/>
      <c r="Q365" s="690"/>
      <c r="R365" s="278"/>
      <c r="S365" s="279"/>
      <c r="T365" s="283"/>
      <c r="U365" s="261"/>
      <c r="V365" s="261"/>
      <c r="W365" s="261"/>
      <c r="X365" s="261"/>
      <c r="Y365" s="261"/>
      <c r="Z365" s="261"/>
      <c r="AA365" s="261"/>
      <c r="AB365" s="347"/>
      <c r="AC365" s="347"/>
      <c r="AD365" s="347"/>
      <c r="AE365" s="348"/>
      <c r="AF365" s="35"/>
      <c r="AG365" s="49"/>
      <c r="AH365" s="49"/>
      <c r="AI365" s="49"/>
      <c r="AJ365" s="49"/>
      <c r="AK365" s="49"/>
      <c r="AL365" s="35"/>
      <c r="AM365" s="35"/>
      <c r="AO365" s="370"/>
      <c r="AP365" s="371"/>
      <c r="AQ365" s="371"/>
      <c r="AR365" s="371"/>
      <c r="AS365" s="371"/>
      <c r="AT365" s="371"/>
      <c r="AU365" s="371"/>
      <c r="AV365" s="371"/>
      <c r="AW365" s="372"/>
    </row>
    <row r="366" spans="2:49" ht="17.25" customHeight="1" thickBot="1">
      <c r="B366" s="19"/>
      <c r="C366" s="19"/>
      <c r="D366" s="19"/>
      <c r="E366" s="19"/>
      <c r="F366" s="19"/>
      <c r="G366" s="19"/>
      <c r="H366" s="47" t="str">
        <f>IF(K366="자산취득비",COUNTIF($K$361:K366,"자산취득비"),IF(K366="설계비",(COUNTIF($K$361:$M$420,"자산취득비")+1)+COUNTIF($K$361:K366,"설계비"),IF(K366="시설비",(COUNTIF($K$361:$M$420,"자산취득비")+1)+(COUNTIF($K$361:$M$420,"설계비")+1)+COUNTIF($K$361:K366,"시설비"),"")))</f>
        <v/>
      </c>
      <c r="I366" s="341" t="str">
        <f t="shared" si="424"/>
        <v/>
      </c>
      <c r="J366" s="342"/>
      <c r="K366" s="344"/>
      <c r="L366" s="344"/>
      <c r="M366" s="344"/>
      <c r="N366" s="361" t="str">
        <f t="shared" si="426"/>
        <v>고효율 펌프 가변제어 장치</v>
      </c>
      <c r="O366" s="362"/>
      <c r="P366" s="362"/>
      <c r="Q366" s="363"/>
      <c r="R366" s="280"/>
      <c r="S366" s="281"/>
      <c r="T366" s="284"/>
      <c r="U366" s="273"/>
      <c r="V366" s="274"/>
      <c r="W366" s="274"/>
      <c r="X366" s="274"/>
      <c r="Y366" s="274"/>
      <c r="Z366" s="274"/>
      <c r="AA366" s="275"/>
      <c r="AB366" s="353"/>
      <c r="AC366" s="353"/>
      <c r="AD366" s="353"/>
      <c r="AE366" s="354"/>
      <c r="AF366" s="35"/>
      <c r="AG366" s="49"/>
      <c r="AH366" s="49"/>
      <c r="AI366" s="49"/>
      <c r="AJ366" s="49"/>
      <c r="AK366" s="49"/>
      <c r="AL366" s="35"/>
      <c r="AM366" s="35"/>
      <c r="AO366" s="370"/>
      <c r="AP366" s="371"/>
      <c r="AQ366" s="371"/>
      <c r="AR366" s="371"/>
      <c r="AS366" s="371"/>
      <c r="AT366" s="371"/>
      <c r="AU366" s="371"/>
      <c r="AV366" s="371"/>
      <c r="AW366" s="372"/>
    </row>
    <row r="367" spans="2:49" ht="16.5" customHeight="1">
      <c r="B367" s="19"/>
      <c r="C367" s="19"/>
      <c r="D367" s="19"/>
      <c r="E367" s="19"/>
      <c r="F367" s="19"/>
      <c r="G367" s="19"/>
      <c r="H367" s="47">
        <f>IF(K367="자산취득비",COUNTIF($K$361:K367,"자산취득비"),IF(K367="설계비",(COUNTIF($K$361:$M$420,"자산취득비")+1)+COUNTIF($K$361:K367,"설계비"),IF(K367="시설비",(COUNTIF($K$361:$M$420,"자산취득비")+1)+(COUNTIF($K$361:$M$420,"설계비")+1)+COUNTIF($K$361:K367,"시설비"),"")))</f>
        <v>5</v>
      </c>
      <c r="I367" s="337" t="str">
        <f t="shared" si="424"/>
        <v>건설비</v>
      </c>
      <c r="J367" s="338"/>
      <c r="K367" s="343" t="s">
        <v>703</v>
      </c>
      <c r="L367" s="343"/>
      <c r="M367" s="343"/>
      <c r="N367" s="355" t="str">
        <f>IFERROR($CV$169,"")</f>
        <v>사업성과 모니터링시스템</v>
      </c>
      <c r="O367" s="356"/>
      <c r="P367" s="356"/>
      <c r="Q367" s="357"/>
      <c r="R367" s="276" t="s">
        <v>499</v>
      </c>
      <c r="S367" s="277"/>
      <c r="T367" s="282">
        <v>1</v>
      </c>
      <c r="U367" s="270" t="s">
        <v>710</v>
      </c>
      <c r="V367" s="271"/>
      <c r="W367" s="271"/>
      <c r="X367" s="271"/>
      <c r="Y367" s="271"/>
      <c r="Z367" s="271"/>
      <c r="AA367" s="272"/>
      <c r="AB367" s="345">
        <v>62000</v>
      </c>
      <c r="AC367" s="345"/>
      <c r="AD367" s="345"/>
      <c r="AE367" s="346"/>
      <c r="AF367" s="35"/>
      <c r="AG367" s="49"/>
      <c r="AH367" s="49"/>
      <c r="AI367" s="35"/>
      <c r="AJ367" s="35"/>
      <c r="AK367" s="35"/>
      <c r="AL367" s="35"/>
      <c r="AM367" s="35"/>
      <c r="AO367" s="370"/>
      <c r="AP367" s="371"/>
      <c r="AQ367" s="371"/>
      <c r="AR367" s="371"/>
      <c r="AS367" s="371"/>
      <c r="AT367" s="371"/>
      <c r="AU367" s="371"/>
      <c r="AV367" s="371"/>
      <c r="AW367" s="372"/>
    </row>
    <row r="368" spans="2:49" ht="16.5" customHeight="1">
      <c r="B368" s="19"/>
      <c r="C368" s="19"/>
      <c r="D368" s="19"/>
      <c r="E368" s="19"/>
      <c r="F368" s="19"/>
      <c r="G368" s="19"/>
      <c r="H368" s="47">
        <f>IF(K368="자산취득비",COUNTIF($K$361:K368,"자산취득비"),IF(K368="설계비",(COUNTIF($K$361:$M$420,"자산취득비")+1)+COUNTIF($K$361:K368,"설계비"),IF(K368="시설비",(COUNTIF($K$361:$M$420,"자산취득비")+1)+(COUNTIF($K$361:$M$420,"설계비")+1)+COUNTIF($K$361:K368,"시설비"),"")))</f>
        <v>6</v>
      </c>
      <c r="I368" s="339" t="str">
        <f t="shared" si="424"/>
        <v>건설비</v>
      </c>
      <c r="J368" s="340"/>
      <c r="K368" s="261" t="s">
        <v>703</v>
      </c>
      <c r="L368" s="261"/>
      <c r="M368" s="261"/>
      <c r="N368" s="691" t="str">
        <f t="shared" ref="N368:N369" si="427">IFERROR($CV$169,"")</f>
        <v>사업성과 모니터링시스템</v>
      </c>
      <c r="O368" s="692"/>
      <c r="P368" s="692"/>
      <c r="Q368" s="693"/>
      <c r="R368" s="278"/>
      <c r="S368" s="279"/>
      <c r="T368" s="283"/>
      <c r="U368" s="261" t="s">
        <v>706</v>
      </c>
      <c r="V368" s="261"/>
      <c r="W368" s="261"/>
      <c r="X368" s="261"/>
      <c r="Y368" s="261"/>
      <c r="Z368" s="261"/>
      <c r="AA368" s="261"/>
      <c r="AB368" s="347">
        <v>101000</v>
      </c>
      <c r="AC368" s="347"/>
      <c r="AD368" s="347"/>
      <c r="AE368" s="348"/>
      <c r="AF368" s="35"/>
      <c r="AG368" s="49"/>
      <c r="AH368" s="49"/>
      <c r="AI368" s="35"/>
      <c r="AJ368" s="35"/>
      <c r="AK368" s="35"/>
      <c r="AL368" s="35"/>
      <c r="AM368" s="35"/>
      <c r="AO368" s="370"/>
      <c r="AP368" s="371"/>
      <c r="AQ368" s="371"/>
      <c r="AR368" s="371"/>
      <c r="AS368" s="371"/>
      <c r="AT368" s="371"/>
      <c r="AU368" s="371"/>
      <c r="AV368" s="371"/>
      <c r="AW368" s="372"/>
    </row>
    <row r="369" spans="2:49" ht="17.25" customHeight="1" thickBot="1">
      <c r="B369" s="19"/>
      <c r="C369" s="19"/>
      <c r="D369" s="19"/>
      <c r="E369" s="19"/>
      <c r="F369" s="19"/>
      <c r="G369" s="19"/>
      <c r="H369" s="47" t="str">
        <f>IF(K369="자산취득비",COUNTIF($K$361:K369,"자산취득비"),IF(K369="설계비",(COUNTIF($K$361:$M$420,"자산취득비")+1)+COUNTIF($K$361:K369,"설계비"),IF(K369="시설비",(COUNTIF($K$361:$M$420,"자산취득비")+1)+(COUNTIF($K$361:$M$420,"설계비")+1)+COUNTIF($K$361:K369,"시설비"),"")))</f>
        <v/>
      </c>
      <c r="I369" s="341" t="str">
        <f t="shared" si="424"/>
        <v/>
      </c>
      <c r="J369" s="342"/>
      <c r="K369" s="344"/>
      <c r="L369" s="344"/>
      <c r="M369" s="344"/>
      <c r="N369" s="361" t="str">
        <f t="shared" si="427"/>
        <v>사업성과 모니터링시스템</v>
      </c>
      <c r="O369" s="362"/>
      <c r="P369" s="362"/>
      <c r="Q369" s="363"/>
      <c r="R369" s="280"/>
      <c r="S369" s="281"/>
      <c r="T369" s="284"/>
      <c r="U369" s="273"/>
      <c r="V369" s="274"/>
      <c r="W369" s="274"/>
      <c r="X369" s="274"/>
      <c r="Y369" s="274"/>
      <c r="Z369" s="274"/>
      <c r="AA369" s="275"/>
      <c r="AB369" s="353"/>
      <c r="AC369" s="353"/>
      <c r="AD369" s="353"/>
      <c r="AE369" s="354"/>
      <c r="AF369" s="35"/>
      <c r="AG369" s="49"/>
      <c r="AH369" s="49"/>
      <c r="AI369" s="35"/>
      <c r="AJ369" s="35"/>
      <c r="AK369" s="35"/>
      <c r="AL369" s="35"/>
      <c r="AM369" s="35"/>
      <c r="AO369" s="370"/>
      <c r="AP369" s="371"/>
      <c r="AQ369" s="371"/>
      <c r="AR369" s="371"/>
      <c r="AS369" s="371"/>
      <c r="AT369" s="371"/>
      <c r="AU369" s="371"/>
      <c r="AV369" s="371"/>
      <c r="AW369" s="372"/>
    </row>
    <row r="370" spans="2:49" ht="16.5" customHeight="1">
      <c r="B370" s="19"/>
      <c r="C370" s="19"/>
      <c r="D370" s="19"/>
      <c r="E370" s="19"/>
      <c r="F370" s="19"/>
      <c r="G370" s="19"/>
      <c r="H370" s="47">
        <f>IF(K370="자산취득비",COUNTIF($K$361:K370,"자산취득비"),IF(K370="설계비",(COUNTIF($K$361:$M$420,"자산취득비")+1)+COUNTIF($K$361:K370,"설계비"),IF(K370="시설비",(COUNTIF($K$361:$M$420,"자산취득비")+1)+(COUNTIF($K$361:$M$420,"설계비")+1)+COUNTIF($K$361:K370,"시설비"),"")))</f>
        <v>7</v>
      </c>
      <c r="I370" s="337" t="str">
        <f t="shared" si="424"/>
        <v>건설비</v>
      </c>
      <c r="J370" s="338"/>
      <c r="K370" s="343" t="s">
        <v>703</v>
      </c>
      <c r="L370" s="343"/>
      <c r="M370" s="343"/>
      <c r="N370" s="355" t="str">
        <f>IFERROR($CV$170,"")</f>
        <v>고효율 여과 집진시설</v>
      </c>
      <c r="O370" s="356"/>
      <c r="P370" s="356"/>
      <c r="Q370" s="357"/>
      <c r="R370" s="276" t="s">
        <v>499</v>
      </c>
      <c r="S370" s="277"/>
      <c r="T370" s="282">
        <v>1</v>
      </c>
      <c r="U370" s="270" t="s">
        <v>704</v>
      </c>
      <c r="V370" s="271"/>
      <c r="W370" s="271"/>
      <c r="X370" s="271"/>
      <c r="Y370" s="271"/>
      <c r="Z370" s="271"/>
      <c r="AA370" s="272"/>
      <c r="AB370" s="345">
        <v>364000</v>
      </c>
      <c r="AC370" s="345"/>
      <c r="AD370" s="345"/>
      <c r="AE370" s="346"/>
      <c r="AF370" s="35"/>
      <c r="AG370" s="49"/>
      <c r="AH370" s="49"/>
      <c r="AI370" s="35"/>
      <c r="AJ370" s="35"/>
      <c r="AK370" s="35"/>
      <c r="AL370" s="35"/>
      <c r="AM370" s="35"/>
      <c r="AO370" s="370"/>
      <c r="AP370" s="371"/>
      <c r="AQ370" s="371"/>
      <c r="AR370" s="371"/>
      <c r="AS370" s="371"/>
      <c r="AT370" s="371"/>
      <c r="AU370" s="371"/>
      <c r="AV370" s="371"/>
      <c r="AW370" s="372"/>
    </row>
    <row r="371" spans="2:49" ht="16.5" customHeight="1">
      <c r="B371" s="19"/>
      <c r="C371" s="19"/>
      <c r="D371" s="19"/>
      <c r="E371" s="19"/>
      <c r="F371" s="19"/>
      <c r="G371" s="19"/>
      <c r="H371" s="47" t="str">
        <f>IF(K371="자산취득비",COUNTIF($K$361:K371,"자산취득비"),IF(K371="설계비",(COUNTIF($K$361:$M$420,"자산취득비")+1)+COUNTIF($K$361:K371,"설계비"),IF(K371="시설비",(COUNTIF($K$361:$M$420,"자산취득비")+1)+(COUNTIF($K$361:$M$420,"설계비")+1)+COUNTIF($K$361:K371,"시설비"),"")))</f>
        <v/>
      </c>
      <c r="I371" s="339" t="str">
        <f t="shared" si="424"/>
        <v/>
      </c>
      <c r="J371" s="340"/>
      <c r="K371" s="261"/>
      <c r="L371" s="261"/>
      <c r="M371" s="261"/>
      <c r="N371" s="358" t="str">
        <f t="shared" ref="N371:N372" si="428">IFERROR($CV$170,"")</f>
        <v>고효율 여과 집진시설</v>
      </c>
      <c r="O371" s="359"/>
      <c r="P371" s="359"/>
      <c r="Q371" s="360"/>
      <c r="R371" s="278"/>
      <c r="S371" s="279"/>
      <c r="T371" s="283"/>
      <c r="U371" s="261"/>
      <c r="V371" s="261"/>
      <c r="W371" s="261"/>
      <c r="X371" s="261"/>
      <c r="Y371" s="261"/>
      <c r="Z371" s="261"/>
      <c r="AA371" s="261"/>
      <c r="AB371" s="347"/>
      <c r="AC371" s="347"/>
      <c r="AD371" s="347"/>
      <c r="AE371" s="348"/>
      <c r="AF371" s="35"/>
      <c r="AG371" s="49"/>
      <c r="AH371" s="49"/>
      <c r="AI371" s="35"/>
      <c r="AJ371" s="35"/>
      <c r="AK371" s="35"/>
      <c r="AL371" s="35"/>
      <c r="AM371" s="35"/>
      <c r="AO371" s="370"/>
      <c r="AP371" s="371"/>
      <c r="AQ371" s="371"/>
      <c r="AR371" s="371"/>
      <c r="AS371" s="371"/>
      <c r="AT371" s="371"/>
      <c r="AU371" s="371"/>
      <c r="AV371" s="371"/>
      <c r="AW371" s="372"/>
    </row>
    <row r="372" spans="2:49" ht="17.25" customHeight="1" thickBot="1">
      <c r="B372" s="19"/>
      <c r="C372" s="19"/>
      <c r="D372" s="19"/>
      <c r="E372" s="19"/>
      <c r="F372" s="19"/>
      <c r="G372" s="19"/>
      <c r="H372" s="47" t="str">
        <f>IF(K372="자산취득비",COUNTIF($K$361:K372,"자산취득비"),IF(K372="설계비",(COUNTIF($K$361:$M$420,"자산취득비")+1)+COUNTIF($K$361:K372,"설계비"),IF(K372="시설비",(COUNTIF($K$361:$M$420,"자산취득비")+1)+(COUNTIF($K$361:$M$420,"설계비")+1)+COUNTIF($K$361:K372,"시설비"),"")))</f>
        <v/>
      </c>
      <c r="I372" s="341" t="str">
        <f t="shared" si="424"/>
        <v/>
      </c>
      <c r="J372" s="342"/>
      <c r="K372" s="344"/>
      <c r="L372" s="344"/>
      <c r="M372" s="344"/>
      <c r="N372" s="361" t="str">
        <f t="shared" si="428"/>
        <v>고효율 여과 집진시설</v>
      </c>
      <c r="O372" s="362"/>
      <c r="P372" s="362"/>
      <c r="Q372" s="363"/>
      <c r="R372" s="280"/>
      <c r="S372" s="281"/>
      <c r="T372" s="284"/>
      <c r="U372" s="273"/>
      <c r="V372" s="274"/>
      <c r="W372" s="274"/>
      <c r="X372" s="274"/>
      <c r="Y372" s="274"/>
      <c r="Z372" s="274"/>
      <c r="AA372" s="275"/>
      <c r="AB372" s="353"/>
      <c r="AC372" s="353"/>
      <c r="AD372" s="353"/>
      <c r="AE372" s="354"/>
      <c r="AF372" s="35"/>
      <c r="AG372" s="49"/>
      <c r="AH372" s="49"/>
      <c r="AI372" s="35"/>
      <c r="AJ372" s="35"/>
      <c r="AK372" s="35"/>
      <c r="AL372" s="35"/>
      <c r="AM372" s="35"/>
      <c r="AO372" s="370"/>
      <c r="AP372" s="371"/>
      <c r="AQ372" s="371"/>
      <c r="AR372" s="371"/>
      <c r="AS372" s="371"/>
      <c r="AT372" s="371"/>
      <c r="AU372" s="371"/>
      <c r="AV372" s="371"/>
      <c r="AW372" s="372"/>
    </row>
    <row r="373" spans="2:49" ht="16.5" customHeight="1">
      <c r="B373" s="19"/>
      <c r="C373" s="19"/>
      <c r="D373" s="19"/>
      <c r="E373" s="19"/>
      <c r="F373" s="19"/>
      <c r="G373" s="19"/>
      <c r="H373" s="47">
        <f>IF(K373="자산취득비",COUNTIF($K$361:K373,"자산취득비"),IF(K373="설계비",(COUNTIF($K$361:$M$420,"자산취득비")+1)+COUNTIF($K$361:K373,"설계비"),IF(K373="시설비",(COUNTIF($K$361:$M$420,"자산취득비")+1)+(COUNTIF($K$361:$M$420,"설계비")+1)+COUNTIF($K$361:K373,"시설비"),"")))</f>
        <v>8</v>
      </c>
      <c r="I373" s="337" t="str">
        <f t="shared" si="424"/>
        <v>건설비</v>
      </c>
      <c r="J373" s="338"/>
      <c r="K373" s="343" t="s">
        <v>703</v>
      </c>
      <c r="L373" s="343"/>
      <c r="M373" s="343"/>
      <c r="N373" s="355" t="str">
        <f>IFERROR($CV$171,"")</f>
        <v>발포라인 딥러닝 시스템</v>
      </c>
      <c r="O373" s="356"/>
      <c r="P373" s="356"/>
      <c r="Q373" s="357"/>
      <c r="R373" s="276" t="s">
        <v>499</v>
      </c>
      <c r="S373" s="277"/>
      <c r="T373" s="282">
        <v>2</v>
      </c>
      <c r="U373" s="270" t="s">
        <v>711</v>
      </c>
      <c r="V373" s="271"/>
      <c r="W373" s="271"/>
      <c r="X373" s="271"/>
      <c r="Y373" s="271"/>
      <c r="Z373" s="271"/>
      <c r="AA373" s="272"/>
      <c r="AB373" s="345">
        <v>250000</v>
      </c>
      <c r="AC373" s="345"/>
      <c r="AD373" s="345"/>
      <c r="AE373" s="346"/>
      <c r="AF373" s="35"/>
      <c r="AG373" s="49"/>
      <c r="AH373" s="49"/>
      <c r="AI373" s="35"/>
      <c r="AJ373" s="35"/>
      <c r="AK373" s="35"/>
      <c r="AL373" s="35"/>
      <c r="AM373" s="35"/>
      <c r="AO373" s="370"/>
      <c r="AP373" s="371"/>
      <c r="AQ373" s="371"/>
      <c r="AR373" s="371"/>
      <c r="AS373" s="371"/>
      <c r="AT373" s="371"/>
      <c r="AU373" s="371"/>
      <c r="AV373" s="371"/>
      <c r="AW373" s="372"/>
    </row>
    <row r="374" spans="2:49" ht="16.5" customHeight="1">
      <c r="B374" s="19"/>
      <c r="C374" s="19"/>
      <c r="D374" s="19"/>
      <c r="E374" s="19"/>
      <c r="F374" s="19"/>
      <c r="G374" s="19"/>
      <c r="H374" s="47" t="str">
        <f>IF(K374="자산취득비",COUNTIF($K$361:K374,"자산취득비"),IF(K374="설계비",(COUNTIF($K$361:$M$420,"자산취득비")+1)+COUNTIF($K$361:K374,"설계비"),IF(K374="시설비",(COUNTIF($K$361:$M$420,"자산취득비")+1)+(COUNTIF($K$361:$M$420,"설계비")+1)+COUNTIF($K$361:K374,"시설비"),"")))</f>
        <v/>
      </c>
      <c r="I374" s="339" t="str">
        <f t="shared" si="424"/>
        <v/>
      </c>
      <c r="J374" s="340"/>
      <c r="K374" s="261"/>
      <c r="L374" s="261"/>
      <c r="M374" s="261"/>
      <c r="N374" s="358" t="str">
        <f t="shared" ref="N374:N375" si="429">IFERROR($CV$171,"")</f>
        <v>발포라인 딥러닝 시스템</v>
      </c>
      <c r="O374" s="359"/>
      <c r="P374" s="359"/>
      <c r="Q374" s="360"/>
      <c r="R374" s="278"/>
      <c r="S374" s="279"/>
      <c r="T374" s="283"/>
      <c r="U374" s="261"/>
      <c r="V374" s="261"/>
      <c r="W374" s="261"/>
      <c r="X374" s="261"/>
      <c r="Y374" s="261"/>
      <c r="Z374" s="261"/>
      <c r="AA374" s="261"/>
      <c r="AB374" s="347"/>
      <c r="AC374" s="347"/>
      <c r="AD374" s="347"/>
      <c r="AE374" s="348"/>
      <c r="AF374" s="35"/>
      <c r="AG374" s="49"/>
      <c r="AH374" s="49"/>
      <c r="AI374" s="35"/>
      <c r="AJ374" s="35"/>
      <c r="AK374" s="35"/>
      <c r="AL374" s="35"/>
      <c r="AM374" s="35"/>
      <c r="AO374" s="370"/>
      <c r="AP374" s="371"/>
      <c r="AQ374" s="371"/>
      <c r="AR374" s="371"/>
      <c r="AS374" s="371"/>
      <c r="AT374" s="371"/>
      <c r="AU374" s="371"/>
      <c r="AV374" s="371"/>
      <c r="AW374" s="372"/>
    </row>
    <row r="375" spans="2:49" ht="17.25" customHeight="1" thickBot="1">
      <c r="B375" s="19"/>
      <c r="C375" s="19"/>
      <c r="D375" s="19"/>
      <c r="E375" s="19"/>
      <c r="F375" s="19"/>
      <c r="G375" s="19"/>
      <c r="H375" s="47" t="str">
        <f>IF(K375="자산취득비",COUNTIF($K$361:K375,"자산취득비"),IF(K375="설계비",(COUNTIF($K$361:$M$420,"자산취득비")+1)+COUNTIF($K$361:K375,"설계비"),IF(K375="시설비",(COUNTIF($K$361:$M$420,"자산취득비")+1)+(COUNTIF($K$361:$M$420,"설계비")+1)+COUNTIF($K$361:K375,"시설비"),"")))</f>
        <v/>
      </c>
      <c r="I375" s="341" t="str">
        <f t="shared" si="424"/>
        <v/>
      </c>
      <c r="J375" s="342"/>
      <c r="K375" s="344"/>
      <c r="L375" s="344"/>
      <c r="M375" s="344"/>
      <c r="N375" s="361" t="str">
        <f t="shared" si="429"/>
        <v>발포라인 딥러닝 시스템</v>
      </c>
      <c r="O375" s="362"/>
      <c r="P375" s="362"/>
      <c r="Q375" s="363"/>
      <c r="R375" s="280"/>
      <c r="S375" s="281"/>
      <c r="T375" s="284"/>
      <c r="U375" s="273"/>
      <c r="V375" s="274"/>
      <c r="W375" s="274"/>
      <c r="X375" s="274"/>
      <c r="Y375" s="274"/>
      <c r="Z375" s="274"/>
      <c r="AA375" s="275"/>
      <c r="AB375" s="353"/>
      <c r="AC375" s="353"/>
      <c r="AD375" s="353"/>
      <c r="AE375" s="354"/>
      <c r="AF375" s="35"/>
      <c r="AG375" s="49"/>
      <c r="AH375" s="49"/>
      <c r="AI375" s="35"/>
      <c r="AJ375" s="35"/>
      <c r="AK375" s="35"/>
      <c r="AL375" s="35"/>
      <c r="AM375" s="35"/>
      <c r="AO375" s="370"/>
      <c r="AP375" s="371"/>
      <c r="AQ375" s="371"/>
      <c r="AR375" s="371"/>
      <c r="AS375" s="371"/>
      <c r="AT375" s="371"/>
      <c r="AU375" s="371"/>
      <c r="AV375" s="371"/>
      <c r="AW375" s="372"/>
    </row>
    <row r="376" spans="2:49" ht="16.5" customHeight="1" thickBot="1">
      <c r="B376" s="19"/>
      <c r="C376" s="19"/>
      <c r="D376" s="19"/>
      <c r="E376" s="19"/>
      <c r="F376" s="19"/>
      <c r="G376" s="19"/>
      <c r="H376" s="47">
        <f>IF(K376="자산취득비",COUNTIF($K$361:K376,"자산취득비"),IF(K376="설계비",(COUNTIF($K$361:$M$420,"자산취득비")+1)+COUNTIF($K$361:K376,"설계비"),IF(K376="시설비",(COUNTIF($K$361:$M$420,"자산취득비")+1)+(COUNTIF($K$361:$M$420,"설계비")+1)+COUNTIF($K$361:K376,"시설비"),"")))</f>
        <v>9</v>
      </c>
      <c r="I376" s="337" t="str">
        <f t="shared" si="424"/>
        <v>건설비</v>
      </c>
      <c r="J376" s="338"/>
      <c r="K376" s="343" t="s">
        <v>703</v>
      </c>
      <c r="L376" s="343"/>
      <c r="M376" s="343"/>
      <c r="N376" s="355" t="str">
        <f>IFERROR($CV$172,"")</f>
        <v>빗물 재이용시설</v>
      </c>
      <c r="O376" s="356"/>
      <c r="P376" s="356"/>
      <c r="Q376" s="357"/>
      <c r="R376" s="276" t="s">
        <v>499</v>
      </c>
      <c r="S376" s="277"/>
      <c r="T376" s="282">
        <v>1</v>
      </c>
      <c r="U376" s="270" t="s">
        <v>705</v>
      </c>
      <c r="V376" s="271"/>
      <c r="W376" s="271"/>
      <c r="X376" s="271"/>
      <c r="Y376" s="271"/>
      <c r="Z376" s="271"/>
      <c r="AA376" s="272"/>
      <c r="AB376" s="345">
        <v>53300</v>
      </c>
      <c r="AC376" s="345"/>
      <c r="AD376" s="345"/>
      <c r="AE376" s="346"/>
      <c r="AF376" s="35"/>
      <c r="AG376" s="49"/>
      <c r="AH376" s="49"/>
      <c r="AI376" s="35"/>
      <c r="AJ376" s="35"/>
      <c r="AK376" s="35"/>
      <c r="AL376" s="35"/>
      <c r="AM376" s="35"/>
      <c r="AO376" s="373"/>
      <c r="AP376" s="374"/>
      <c r="AQ376" s="374"/>
      <c r="AR376" s="374"/>
      <c r="AS376" s="374"/>
      <c r="AT376" s="374"/>
      <c r="AU376" s="374"/>
      <c r="AV376" s="374"/>
      <c r="AW376" s="375"/>
    </row>
    <row r="377" spans="2:49" ht="16.5" customHeight="1">
      <c r="B377" s="19"/>
      <c r="C377" s="19"/>
      <c r="D377" s="19"/>
      <c r="E377" s="19"/>
      <c r="F377" s="19"/>
      <c r="G377" s="19"/>
      <c r="H377" s="47" t="str">
        <f>IF(K377="자산취득비",COUNTIF($K$361:K377,"자산취득비"),IF(K377="설계비",(COUNTIF($K$361:$M$420,"자산취득비")+1)+COUNTIF($K$361:K377,"설계비"),IF(K377="시설비",(COUNTIF($K$361:$M$420,"자산취득비")+1)+(COUNTIF($K$361:$M$420,"설계비")+1)+COUNTIF($K$361:K377,"시설비"),"")))</f>
        <v/>
      </c>
      <c r="I377" s="339" t="str">
        <f t="shared" si="424"/>
        <v/>
      </c>
      <c r="J377" s="340"/>
      <c r="K377" s="261"/>
      <c r="L377" s="261"/>
      <c r="M377" s="261"/>
      <c r="N377" s="358" t="str">
        <f t="shared" ref="N377:N378" si="430">IFERROR($CV$172,"")</f>
        <v>빗물 재이용시설</v>
      </c>
      <c r="O377" s="359"/>
      <c r="P377" s="359"/>
      <c r="Q377" s="360"/>
      <c r="R377" s="278"/>
      <c r="S377" s="279"/>
      <c r="T377" s="283"/>
      <c r="U377" s="261"/>
      <c r="V377" s="261"/>
      <c r="W377" s="261"/>
      <c r="X377" s="261"/>
      <c r="Y377" s="261"/>
      <c r="Z377" s="261"/>
      <c r="AA377" s="261"/>
      <c r="AB377" s="347"/>
      <c r="AC377" s="347"/>
      <c r="AD377" s="347"/>
      <c r="AE377" s="348"/>
      <c r="AF377" s="35"/>
      <c r="AG377" s="49"/>
      <c r="AH377" s="49"/>
      <c r="AI377" s="35"/>
      <c r="AJ377" s="35"/>
      <c r="AK377" s="35"/>
      <c r="AL377" s="35"/>
      <c r="AM377" s="35"/>
    </row>
    <row r="378" spans="2:49" ht="17.25" customHeight="1" thickBot="1">
      <c r="B378" s="19"/>
      <c r="C378" s="19"/>
      <c r="D378" s="19"/>
      <c r="E378" s="19"/>
      <c r="F378" s="19"/>
      <c r="G378" s="19"/>
      <c r="H378" s="47" t="str">
        <f>IF(K378="자산취득비",COUNTIF($K$361:K378,"자산취득비"),IF(K378="설계비",(COUNTIF($K$361:$M$420,"자산취득비")+1)+COUNTIF($K$361:K378,"설계비"),IF(K378="시설비",(COUNTIF($K$361:$M$420,"자산취득비")+1)+(COUNTIF($K$361:$M$420,"설계비")+1)+COUNTIF($K$361:K378,"시설비"),"")))</f>
        <v/>
      </c>
      <c r="I378" s="341" t="str">
        <f t="shared" si="424"/>
        <v/>
      </c>
      <c r="J378" s="342"/>
      <c r="K378" s="344"/>
      <c r="L378" s="344"/>
      <c r="M378" s="344"/>
      <c r="N378" s="361" t="str">
        <f t="shared" si="430"/>
        <v>빗물 재이용시설</v>
      </c>
      <c r="O378" s="362"/>
      <c r="P378" s="362"/>
      <c r="Q378" s="363"/>
      <c r="R378" s="280"/>
      <c r="S378" s="281"/>
      <c r="T378" s="284"/>
      <c r="U378" s="273"/>
      <c r="V378" s="274"/>
      <c r="W378" s="274"/>
      <c r="X378" s="274"/>
      <c r="Y378" s="274"/>
      <c r="Z378" s="274"/>
      <c r="AA378" s="275"/>
      <c r="AB378" s="353"/>
      <c r="AC378" s="353"/>
      <c r="AD378" s="353"/>
      <c r="AE378" s="354"/>
      <c r="AF378" s="35"/>
      <c r="AG378" s="49"/>
      <c r="AH378" s="49"/>
      <c r="AI378" s="35"/>
      <c r="AJ378" s="35"/>
      <c r="AK378" s="35"/>
      <c r="AL378" s="35"/>
      <c r="AM378" s="35"/>
    </row>
    <row r="379" spans="2:49" ht="16.5" customHeight="1">
      <c r="B379" s="19"/>
      <c r="C379" s="19"/>
      <c r="D379" s="19"/>
      <c r="E379" s="19"/>
      <c r="F379" s="19"/>
      <c r="G379" s="19"/>
      <c r="H379" s="47" t="str">
        <f>IF(K379="자산취득비",COUNTIF($K$361:K379,"자산취득비"),IF(K379="설계비",(COUNTIF($K$361:$M$420,"자산취득비")+1)+COUNTIF($K$361:K379,"설계비"),IF(K379="시설비",(COUNTIF($K$361:$M$420,"자산취득비")+1)+(COUNTIF($K$361:$M$420,"설계비")+1)+COUNTIF($K$361:K379,"시설비"),"")))</f>
        <v/>
      </c>
      <c r="I379" s="337" t="str">
        <f t="shared" si="424"/>
        <v/>
      </c>
      <c r="J379" s="338"/>
      <c r="K379" s="343"/>
      <c r="L379" s="343"/>
      <c r="M379" s="343"/>
      <c r="N379" s="355" t="str">
        <f>IFERROR($CV$173,"")</f>
        <v/>
      </c>
      <c r="O379" s="356"/>
      <c r="P379" s="356"/>
      <c r="Q379" s="357"/>
      <c r="R379" s="276" t="s">
        <v>499</v>
      </c>
      <c r="S379" s="277"/>
      <c r="T379" s="282"/>
      <c r="U379" s="270"/>
      <c r="V379" s="271"/>
      <c r="W379" s="271"/>
      <c r="X379" s="271"/>
      <c r="Y379" s="271"/>
      <c r="Z379" s="271"/>
      <c r="AA379" s="272"/>
      <c r="AB379" s="345"/>
      <c r="AC379" s="345"/>
      <c r="AD379" s="345"/>
      <c r="AE379" s="346"/>
      <c r="AF379" s="35"/>
      <c r="AG379" s="49"/>
      <c r="AH379" s="49"/>
      <c r="AI379" s="35"/>
      <c r="AJ379" s="35"/>
      <c r="AK379" s="35"/>
      <c r="AL379" s="35"/>
      <c r="AM379" s="35"/>
    </row>
    <row r="380" spans="2:49" ht="16.5" customHeight="1">
      <c r="B380" s="19"/>
      <c r="C380" s="19"/>
      <c r="D380" s="19"/>
      <c r="E380" s="19"/>
      <c r="F380" s="19"/>
      <c r="G380" s="19"/>
      <c r="H380" s="47" t="str">
        <f>IF(K380="자산취득비",COUNTIF($K$361:K380,"자산취득비"),IF(K380="설계비",(COUNTIF($K$361:$M$420,"자산취득비")+1)+COUNTIF($K$361:K380,"설계비"),IF(K380="시설비",(COUNTIF($K$361:$M$420,"자산취득비")+1)+(COUNTIF($K$361:$M$420,"설계비")+1)+COUNTIF($K$361:K380,"시설비"),"")))</f>
        <v/>
      </c>
      <c r="I380" s="339" t="str">
        <f t="shared" si="424"/>
        <v/>
      </c>
      <c r="J380" s="340"/>
      <c r="K380" s="261"/>
      <c r="L380" s="261"/>
      <c r="M380" s="261"/>
      <c r="N380" s="358" t="str">
        <f t="shared" ref="N380:N381" si="431">IFERROR($CV$173,"")</f>
        <v/>
      </c>
      <c r="O380" s="359"/>
      <c r="P380" s="359"/>
      <c r="Q380" s="360"/>
      <c r="R380" s="278"/>
      <c r="S380" s="279"/>
      <c r="T380" s="283"/>
      <c r="U380" s="261"/>
      <c r="V380" s="261"/>
      <c r="W380" s="261"/>
      <c r="X380" s="261"/>
      <c r="Y380" s="261"/>
      <c r="Z380" s="261"/>
      <c r="AA380" s="261"/>
      <c r="AB380" s="347"/>
      <c r="AC380" s="347"/>
      <c r="AD380" s="347"/>
      <c r="AE380" s="348"/>
      <c r="AF380" s="35"/>
      <c r="AG380" s="49"/>
      <c r="AH380" s="49"/>
      <c r="AI380" s="35"/>
      <c r="AJ380" s="35"/>
      <c r="AK380" s="35"/>
      <c r="AL380" s="35"/>
      <c r="AM380" s="35"/>
    </row>
    <row r="381" spans="2:49" ht="17.25" customHeight="1" thickBot="1">
      <c r="B381" s="19"/>
      <c r="C381" s="19"/>
      <c r="D381" s="19"/>
      <c r="E381" s="19"/>
      <c r="F381" s="19"/>
      <c r="G381" s="19"/>
      <c r="H381" s="47" t="str">
        <f>IF(K381="자산취득비",COUNTIF($K$361:K381,"자산취득비"),IF(K381="설계비",(COUNTIF($K$361:$M$420,"자산취득비")+1)+COUNTIF($K$361:K381,"설계비"),IF(K381="시설비",(COUNTIF($K$361:$M$420,"자산취득비")+1)+(COUNTIF($K$361:$M$420,"설계비")+1)+COUNTIF($K$361:K381,"시설비"),"")))</f>
        <v/>
      </c>
      <c r="I381" s="341" t="str">
        <f t="shared" si="424"/>
        <v/>
      </c>
      <c r="J381" s="342"/>
      <c r="K381" s="344"/>
      <c r="L381" s="344"/>
      <c r="M381" s="344"/>
      <c r="N381" s="361" t="str">
        <f t="shared" si="431"/>
        <v/>
      </c>
      <c r="O381" s="362"/>
      <c r="P381" s="362"/>
      <c r="Q381" s="363"/>
      <c r="R381" s="280"/>
      <c r="S381" s="281"/>
      <c r="T381" s="284"/>
      <c r="U381" s="273"/>
      <c r="V381" s="274"/>
      <c r="W381" s="274"/>
      <c r="X381" s="274"/>
      <c r="Y381" s="274"/>
      <c r="Z381" s="274"/>
      <c r="AA381" s="275"/>
      <c r="AB381" s="353"/>
      <c r="AC381" s="353"/>
      <c r="AD381" s="353"/>
      <c r="AE381" s="354"/>
      <c r="AF381" s="35"/>
      <c r="AG381" s="49"/>
      <c r="AH381" s="49"/>
      <c r="AI381" s="35"/>
      <c r="AJ381" s="35"/>
      <c r="AK381" s="35"/>
      <c r="AL381" s="35"/>
      <c r="AM381" s="35"/>
    </row>
    <row r="382" spans="2:49" ht="16.5" customHeight="1">
      <c r="B382" s="19"/>
      <c r="C382" s="19"/>
      <c r="D382" s="19"/>
      <c r="E382" s="19"/>
      <c r="F382" s="19"/>
      <c r="G382" s="19"/>
      <c r="H382" s="47" t="str">
        <f>IF(K382="자산취득비",COUNTIF($K$361:K382,"자산취득비"),IF(K382="설계비",(COUNTIF($K$361:$M$420,"자산취득비")+1)+COUNTIF($K$361:K382,"설계비"),IF(K382="시설비",(COUNTIF($K$361:$M$420,"자산취득비")+1)+(COUNTIF($K$361:$M$420,"설계비")+1)+COUNTIF($K$361:K382,"시설비"),"")))</f>
        <v/>
      </c>
      <c r="I382" s="337" t="str">
        <f t="shared" si="424"/>
        <v/>
      </c>
      <c r="J382" s="338"/>
      <c r="K382" s="343"/>
      <c r="L382" s="343"/>
      <c r="M382" s="343"/>
      <c r="N382" s="355" t="str">
        <f>IFERROR($CV$174,"")</f>
        <v/>
      </c>
      <c r="O382" s="356"/>
      <c r="P382" s="356"/>
      <c r="Q382" s="357"/>
      <c r="R382" s="276" t="s">
        <v>499</v>
      </c>
      <c r="S382" s="277"/>
      <c r="T382" s="282"/>
      <c r="U382" s="270"/>
      <c r="V382" s="271"/>
      <c r="W382" s="271"/>
      <c r="X382" s="271"/>
      <c r="Y382" s="271"/>
      <c r="Z382" s="271"/>
      <c r="AA382" s="272"/>
      <c r="AB382" s="345"/>
      <c r="AC382" s="345"/>
      <c r="AD382" s="345"/>
      <c r="AE382" s="346"/>
      <c r="AF382" s="35"/>
      <c r="AG382" s="49"/>
      <c r="AH382" s="49"/>
      <c r="AI382" s="35"/>
      <c r="AJ382" s="35"/>
      <c r="AK382" s="35"/>
      <c r="AL382" s="35"/>
      <c r="AM382" s="35"/>
    </row>
    <row r="383" spans="2:49" ht="16.5" customHeight="1">
      <c r="B383" s="19"/>
      <c r="C383" s="19"/>
      <c r="D383" s="19"/>
      <c r="E383" s="19"/>
      <c r="F383" s="19"/>
      <c r="G383" s="19"/>
      <c r="H383" s="47" t="str">
        <f>IF(K383="자산취득비",COUNTIF($K$361:K383,"자산취득비"),IF(K383="설계비",(COUNTIF($K$361:$M$420,"자산취득비")+1)+COUNTIF($K$361:K383,"설계비"),IF(K383="시설비",(COUNTIF($K$361:$M$420,"자산취득비")+1)+(COUNTIF($K$361:$M$420,"설계비")+1)+COUNTIF($K$361:K383,"시설비"),"")))</f>
        <v/>
      </c>
      <c r="I383" s="339" t="str">
        <f t="shared" si="424"/>
        <v/>
      </c>
      <c r="J383" s="340"/>
      <c r="K383" s="261"/>
      <c r="L383" s="261"/>
      <c r="M383" s="261"/>
      <c r="N383" s="358" t="str">
        <f t="shared" ref="N383:N384" si="432">IFERROR($CV$174,"")</f>
        <v/>
      </c>
      <c r="O383" s="359"/>
      <c r="P383" s="359"/>
      <c r="Q383" s="360"/>
      <c r="R383" s="278"/>
      <c r="S383" s="279"/>
      <c r="T383" s="283"/>
      <c r="U383" s="261"/>
      <c r="V383" s="261"/>
      <c r="W383" s="261"/>
      <c r="X383" s="261"/>
      <c r="Y383" s="261"/>
      <c r="Z383" s="261"/>
      <c r="AA383" s="261"/>
      <c r="AB383" s="347"/>
      <c r="AC383" s="347"/>
      <c r="AD383" s="347"/>
      <c r="AE383" s="348"/>
      <c r="AF383" s="35"/>
      <c r="AG383" s="49"/>
      <c r="AH383" s="49"/>
      <c r="AI383" s="35"/>
      <c r="AJ383" s="35"/>
      <c r="AK383" s="35"/>
      <c r="AL383" s="35"/>
      <c r="AM383" s="35"/>
    </row>
    <row r="384" spans="2:49" ht="17.25" customHeight="1" thickBot="1">
      <c r="B384" s="19"/>
      <c r="C384" s="19"/>
      <c r="D384" s="19"/>
      <c r="E384" s="19"/>
      <c r="F384" s="19"/>
      <c r="G384" s="19"/>
      <c r="H384" s="47" t="str">
        <f>IF(K384="자산취득비",COUNTIF($K$361:K384,"자산취득비"),IF(K384="설계비",(COUNTIF($K$361:$M$420,"자산취득비")+1)+COUNTIF($K$361:K384,"설계비"),IF(K384="시설비",(COUNTIF($K$361:$M$420,"자산취득비")+1)+(COUNTIF($K$361:$M$420,"설계비")+1)+COUNTIF($K$361:K384,"시설비"),"")))</f>
        <v/>
      </c>
      <c r="I384" s="341" t="str">
        <f t="shared" si="424"/>
        <v/>
      </c>
      <c r="J384" s="342"/>
      <c r="K384" s="344"/>
      <c r="L384" s="344"/>
      <c r="M384" s="344"/>
      <c r="N384" s="361" t="str">
        <f t="shared" si="432"/>
        <v/>
      </c>
      <c r="O384" s="362"/>
      <c r="P384" s="362"/>
      <c r="Q384" s="363"/>
      <c r="R384" s="280"/>
      <c r="S384" s="281"/>
      <c r="T384" s="284"/>
      <c r="U384" s="273"/>
      <c r="V384" s="274"/>
      <c r="W384" s="274"/>
      <c r="X384" s="274"/>
      <c r="Y384" s="274"/>
      <c r="Z384" s="274"/>
      <c r="AA384" s="275"/>
      <c r="AB384" s="353"/>
      <c r="AC384" s="353"/>
      <c r="AD384" s="353"/>
      <c r="AE384" s="354"/>
      <c r="AF384" s="35"/>
      <c r="AG384" s="49"/>
      <c r="AH384" s="49"/>
      <c r="AI384" s="35"/>
      <c r="AJ384" s="35"/>
      <c r="AK384" s="35"/>
      <c r="AL384" s="35"/>
      <c r="AM384" s="35"/>
    </row>
    <row r="385" spans="2:39" ht="16.5" customHeight="1">
      <c r="B385" s="19"/>
      <c r="C385" s="19"/>
      <c r="D385" s="19"/>
      <c r="E385" s="19"/>
      <c r="F385" s="19"/>
      <c r="G385" s="19"/>
      <c r="H385" s="47" t="str">
        <f>IF(K385="자산취득비",COUNTIF($K$361:K385,"자산취득비"),IF(K385="설계비",(COUNTIF($K$361:$M$420,"자산취득비")+1)+COUNTIF($K$361:K385,"설계비"),IF(K385="시설비",(COUNTIF($K$361:$M$420,"자산취득비")+1)+(COUNTIF($K$361:$M$420,"설계비")+1)+COUNTIF($K$361:K385,"시설비"),"")))</f>
        <v/>
      </c>
      <c r="I385" s="337" t="str">
        <f t="shared" si="424"/>
        <v/>
      </c>
      <c r="J385" s="338"/>
      <c r="K385" s="343"/>
      <c r="L385" s="343"/>
      <c r="M385" s="343"/>
      <c r="N385" s="355" t="str">
        <f>IFERROR($CV$175,"")</f>
        <v/>
      </c>
      <c r="O385" s="356"/>
      <c r="P385" s="356"/>
      <c r="Q385" s="357"/>
      <c r="R385" s="276" t="s">
        <v>499</v>
      </c>
      <c r="S385" s="277"/>
      <c r="T385" s="282"/>
      <c r="U385" s="270"/>
      <c r="V385" s="271"/>
      <c r="W385" s="271"/>
      <c r="X385" s="271"/>
      <c r="Y385" s="271"/>
      <c r="Z385" s="271"/>
      <c r="AA385" s="272"/>
      <c r="AB385" s="345"/>
      <c r="AC385" s="345"/>
      <c r="AD385" s="345"/>
      <c r="AE385" s="346"/>
      <c r="AF385" s="35"/>
      <c r="AG385" s="49"/>
      <c r="AH385" s="49"/>
      <c r="AI385" s="35"/>
      <c r="AJ385" s="35"/>
      <c r="AK385" s="35"/>
      <c r="AL385" s="35"/>
      <c r="AM385" s="35"/>
    </row>
    <row r="386" spans="2:39" ht="16.5" customHeight="1">
      <c r="B386" s="19"/>
      <c r="C386" s="19"/>
      <c r="D386" s="19"/>
      <c r="E386" s="19"/>
      <c r="F386" s="19"/>
      <c r="G386" s="19"/>
      <c r="H386" s="47" t="str">
        <f>IF(K386="자산취득비",COUNTIF($K$361:K386,"자산취득비"),IF(K386="설계비",(COUNTIF($K$361:$M$420,"자산취득비")+1)+COUNTIF($K$361:K386,"설계비"),IF(K386="시설비",(COUNTIF($K$361:$M$420,"자산취득비")+1)+(COUNTIF($K$361:$M$420,"설계비")+1)+COUNTIF($K$361:K386,"시설비"),"")))</f>
        <v/>
      </c>
      <c r="I386" s="339" t="str">
        <f t="shared" si="424"/>
        <v/>
      </c>
      <c r="J386" s="340"/>
      <c r="K386" s="261"/>
      <c r="L386" s="261"/>
      <c r="M386" s="261"/>
      <c r="N386" s="358" t="str">
        <f t="shared" ref="N386:N387" si="433">IFERROR($CV$175,"")</f>
        <v/>
      </c>
      <c r="O386" s="359"/>
      <c r="P386" s="359"/>
      <c r="Q386" s="360"/>
      <c r="R386" s="278"/>
      <c r="S386" s="279"/>
      <c r="T386" s="283"/>
      <c r="U386" s="261"/>
      <c r="V386" s="261"/>
      <c r="W386" s="261"/>
      <c r="X386" s="261"/>
      <c r="Y386" s="261"/>
      <c r="Z386" s="261"/>
      <c r="AA386" s="261"/>
      <c r="AB386" s="347"/>
      <c r="AC386" s="347"/>
      <c r="AD386" s="347"/>
      <c r="AE386" s="348"/>
      <c r="AF386" s="35"/>
      <c r="AG386" s="49"/>
      <c r="AH386" s="49"/>
      <c r="AI386" s="35"/>
      <c r="AJ386" s="35"/>
      <c r="AK386" s="35"/>
      <c r="AL386" s="35"/>
      <c r="AM386" s="35"/>
    </row>
    <row r="387" spans="2:39" ht="17.25" customHeight="1" thickBot="1">
      <c r="B387" s="19"/>
      <c r="C387" s="19"/>
      <c r="D387" s="19"/>
      <c r="E387" s="19"/>
      <c r="F387" s="19"/>
      <c r="G387" s="19"/>
      <c r="H387" s="47" t="str">
        <f>IF(K387="자산취득비",COUNTIF($K$361:K387,"자산취득비"),IF(K387="설계비",(COUNTIF($K$361:$M$420,"자산취득비")+1)+COUNTIF($K$361:K387,"설계비"),IF(K387="시설비",(COUNTIF($K$361:$M$420,"자산취득비")+1)+(COUNTIF($K$361:$M$420,"설계비")+1)+COUNTIF($K$361:K387,"시설비"),"")))</f>
        <v/>
      </c>
      <c r="I387" s="341" t="str">
        <f t="shared" si="424"/>
        <v/>
      </c>
      <c r="J387" s="342"/>
      <c r="K387" s="344"/>
      <c r="L387" s="344"/>
      <c r="M387" s="344"/>
      <c r="N387" s="361" t="str">
        <f t="shared" si="433"/>
        <v/>
      </c>
      <c r="O387" s="362"/>
      <c r="P387" s="362"/>
      <c r="Q387" s="363"/>
      <c r="R387" s="280"/>
      <c r="S387" s="281"/>
      <c r="T387" s="284"/>
      <c r="U387" s="273"/>
      <c r="V387" s="274"/>
      <c r="W387" s="274"/>
      <c r="X387" s="274"/>
      <c r="Y387" s="274"/>
      <c r="Z387" s="274"/>
      <c r="AA387" s="275"/>
      <c r="AB387" s="353"/>
      <c r="AC387" s="353"/>
      <c r="AD387" s="353"/>
      <c r="AE387" s="354"/>
      <c r="AF387" s="35"/>
      <c r="AG387" s="49"/>
      <c r="AH387" s="49"/>
      <c r="AI387" s="35"/>
      <c r="AJ387" s="35"/>
      <c r="AK387" s="35"/>
      <c r="AL387" s="35"/>
      <c r="AM387" s="35"/>
    </row>
    <row r="388" spans="2:39" ht="16.5" customHeight="1">
      <c r="B388" s="19"/>
      <c r="C388" s="19"/>
      <c r="D388" s="19"/>
      <c r="E388" s="19"/>
      <c r="F388" s="19"/>
      <c r="G388" s="19"/>
      <c r="H388" s="47" t="str">
        <f>IF(K388="자산취득비",COUNTIF($K$361:K388,"자산취득비"),IF(K388="설계비",(COUNTIF($K$361:$M$420,"자산취득비")+1)+COUNTIF($K$361:K388,"설계비"),IF(K388="시설비",(COUNTIF($K$361:$M$420,"자산취득비")+1)+(COUNTIF($K$361:$M$420,"설계비")+1)+COUNTIF($K$361:K388,"시설비"),"")))</f>
        <v/>
      </c>
      <c r="I388" s="337" t="str">
        <f t="shared" si="424"/>
        <v/>
      </c>
      <c r="J388" s="338"/>
      <c r="K388" s="343"/>
      <c r="L388" s="343"/>
      <c r="M388" s="343"/>
      <c r="N388" s="355" t="str">
        <f>IFERROR($CV$176,"")</f>
        <v/>
      </c>
      <c r="O388" s="356"/>
      <c r="P388" s="356"/>
      <c r="Q388" s="357"/>
      <c r="R388" s="276" t="s">
        <v>499</v>
      </c>
      <c r="S388" s="277"/>
      <c r="T388" s="282"/>
      <c r="U388" s="270"/>
      <c r="V388" s="271"/>
      <c r="W388" s="271"/>
      <c r="X388" s="271"/>
      <c r="Y388" s="271"/>
      <c r="Z388" s="271"/>
      <c r="AA388" s="272"/>
      <c r="AB388" s="345"/>
      <c r="AC388" s="345"/>
      <c r="AD388" s="345"/>
      <c r="AE388" s="346"/>
      <c r="AF388" s="35"/>
      <c r="AG388" s="49"/>
      <c r="AH388" s="49"/>
      <c r="AI388" s="35"/>
      <c r="AJ388" s="35"/>
      <c r="AK388" s="35"/>
      <c r="AL388" s="35"/>
      <c r="AM388" s="35"/>
    </row>
    <row r="389" spans="2:39" ht="16.5" customHeight="1">
      <c r="B389" s="19"/>
      <c r="C389" s="19"/>
      <c r="D389" s="19"/>
      <c r="E389" s="19"/>
      <c r="F389" s="19"/>
      <c r="G389" s="19"/>
      <c r="H389" s="47" t="str">
        <f>IF(K389="자산취득비",COUNTIF($K$361:K389,"자산취득비"),IF(K389="설계비",(COUNTIF($K$361:$M$420,"자산취득비")+1)+COUNTIF($K$361:K389,"설계비"),IF(K389="시설비",(COUNTIF($K$361:$M$420,"자산취득비")+1)+(COUNTIF($K$361:$M$420,"설계비")+1)+COUNTIF($K$361:K389,"시설비"),"")))</f>
        <v/>
      </c>
      <c r="I389" s="339" t="str">
        <f t="shared" si="424"/>
        <v/>
      </c>
      <c r="J389" s="340"/>
      <c r="K389" s="261"/>
      <c r="L389" s="261"/>
      <c r="M389" s="261"/>
      <c r="N389" s="358" t="str">
        <f t="shared" ref="N389:N390" si="434">IFERROR($CV$176,"")</f>
        <v/>
      </c>
      <c r="O389" s="359"/>
      <c r="P389" s="359"/>
      <c r="Q389" s="360"/>
      <c r="R389" s="278"/>
      <c r="S389" s="279"/>
      <c r="T389" s="283"/>
      <c r="U389" s="261"/>
      <c r="V389" s="261"/>
      <c r="W389" s="261"/>
      <c r="X389" s="261"/>
      <c r="Y389" s="261"/>
      <c r="Z389" s="261"/>
      <c r="AA389" s="261"/>
      <c r="AB389" s="347"/>
      <c r="AC389" s="347"/>
      <c r="AD389" s="347"/>
      <c r="AE389" s="348"/>
      <c r="AF389" s="35"/>
      <c r="AG389" s="49"/>
      <c r="AH389" s="49"/>
      <c r="AI389" s="35"/>
      <c r="AJ389" s="35"/>
      <c r="AK389" s="35"/>
      <c r="AL389" s="35"/>
      <c r="AM389" s="35"/>
    </row>
    <row r="390" spans="2:39" ht="17.25" customHeight="1" thickBot="1">
      <c r="B390" s="19"/>
      <c r="C390" s="19"/>
      <c r="D390" s="19"/>
      <c r="E390" s="19"/>
      <c r="F390" s="19"/>
      <c r="G390" s="19"/>
      <c r="H390" s="47" t="str">
        <f>IF(K390="자산취득비",COUNTIF($K$361:K390,"자산취득비"),IF(K390="설계비",(COUNTIF($K$361:$M$420,"자산취득비")+1)+COUNTIF($K$361:K390,"설계비"),IF(K390="시설비",(COUNTIF($K$361:$M$420,"자산취득비")+1)+(COUNTIF($K$361:$M$420,"설계비")+1)+COUNTIF($K$361:K390,"시설비"),"")))</f>
        <v/>
      </c>
      <c r="I390" s="341" t="str">
        <f t="shared" si="424"/>
        <v/>
      </c>
      <c r="J390" s="342"/>
      <c r="K390" s="344"/>
      <c r="L390" s="344"/>
      <c r="M390" s="344"/>
      <c r="N390" s="361" t="str">
        <f t="shared" si="434"/>
        <v/>
      </c>
      <c r="O390" s="362"/>
      <c r="P390" s="362"/>
      <c r="Q390" s="363"/>
      <c r="R390" s="280"/>
      <c r="S390" s="281"/>
      <c r="T390" s="284"/>
      <c r="U390" s="273"/>
      <c r="V390" s="274"/>
      <c r="W390" s="274"/>
      <c r="X390" s="274"/>
      <c r="Y390" s="274"/>
      <c r="Z390" s="274"/>
      <c r="AA390" s="275"/>
      <c r="AB390" s="353"/>
      <c r="AC390" s="353"/>
      <c r="AD390" s="353"/>
      <c r="AE390" s="354"/>
      <c r="AF390" s="35"/>
      <c r="AG390" s="49"/>
      <c r="AH390" s="49"/>
      <c r="AI390" s="35"/>
      <c r="AJ390" s="35"/>
      <c r="AK390" s="35"/>
      <c r="AL390" s="35"/>
      <c r="AM390" s="35"/>
    </row>
    <row r="391" spans="2:39" ht="16.5" customHeight="1">
      <c r="B391" s="19"/>
      <c r="C391" s="19"/>
      <c r="D391" s="19"/>
      <c r="E391" s="19"/>
      <c r="F391" s="19"/>
      <c r="G391" s="19"/>
      <c r="H391" s="47" t="str">
        <f>IF(K391="자산취득비",COUNTIF($K$361:K391,"자산취득비"),IF(K391="설계비",(COUNTIF($K$361:$M$420,"자산취득비")+1)+COUNTIF($K$361:K391,"설계비"),IF(K391="시설비",(COUNTIF($K$361:$M$420,"자산취득비")+1)+(COUNTIF($K$361:$M$420,"설계비")+1)+COUNTIF($K$361:K391,"시설비"),"")))</f>
        <v/>
      </c>
      <c r="I391" s="337" t="str">
        <f t="shared" si="424"/>
        <v/>
      </c>
      <c r="J391" s="338"/>
      <c r="K391" s="343"/>
      <c r="L391" s="343"/>
      <c r="M391" s="343"/>
      <c r="N391" s="355" t="str">
        <f>IFERROR($CV$177,"")</f>
        <v/>
      </c>
      <c r="O391" s="356"/>
      <c r="P391" s="356"/>
      <c r="Q391" s="357"/>
      <c r="R391" s="276" t="s">
        <v>499</v>
      </c>
      <c r="S391" s="277"/>
      <c r="T391" s="282"/>
      <c r="U391" s="270"/>
      <c r="V391" s="271"/>
      <c r="W391" s="271"/>
      <c r="X391" s="271"/>
      <c r="Y391" s="271"/>
      <c r="Z391" s="271"/>
      <c r="AA391" s="272"/>
      <c r="AB391" s="345"/>
      <c r="AC391" s="345"/>
      <c r="AD391" s="345"/>
      <c r="AE391" s="346"/>
      <c r="AF391" s="35"/>
      <c r="AG391" s="49"/>
      <c r="AH391" s="49"/>
      <c r="AI391" s="35"/>
      <c r="AJ391" s="35"/>
      <c r="AK391" s="35"/>
      <c r="AL391" s="35"/>
      <c r="AM391" s="35"/>
    </row>
    <row r="392" spans="2:39" ht="16.5" customHeight="1">
      <c r="B392" s="19"/>
      <c r="C392" s="19"/>
      <c r="D392" s="19"/>
      <c r="E392" s="19"/>
      <c r="F392" s="19"/>
      <c r="G392" s="19"/>
      <c r="H392" s="47" t="str">
        <f>IF(K392="자산취득비",COUNTIF($K$361:K392,"자산취득비"),IF(K392="설계비",(COUNTIF($K$361:$M$420,"자산취득비")+1)+COUNTIF($K$361:K392,"설계비"),IF(K392="시설비",(COUNTIF($K$361:$M$420,"자산취득비")+1)+(COUNTIF($K$361:$M$420,"설계비")+1)+COUNTIF($K$361:K392,"시설비"),"")))</f>
        <v/>
      </c>
      <c r="I392" s="339" t="str">
        <f t="shared" si="424"/>
        <v/>
      </c>
      <c r="J392" s="340"/>
      <c r="K392" s="261"/>
      <c r="L392" s="261"/>
      <c r="M392" s="261"/>
      <c r="N392" s="358" t="str">
        <f t="shared" ref="N392:N393" si="435">IFERROR($CV$177,"")</f>
        <v/>
      </c>
      <c r="O392" s="359"/>
      <c r="P392" s="359"/>
      <c r="Q392" s="360"/>
      <c r="R392" s="278"/>
      <c r="S392" s="279"/>
      <c r="T392" s="283"/>
      <c r="U392" s="261"/>
      <c r="V392" s="261"/>
      <c r="W392" s="261"/>
      <c r="X392" s="261"/>
      <c r="Y392" s="261"/>
      <c r="Z392" s="261"/>
      <c r="AA392" s="261"/>
      <c r="AB392" s="347"/>
      <c r="AC392" s="347"/>
      <c r="AD392" s="347"/>
      <c r="AE392" s="348"/>
      <c r="AF392" s="35"/>
      <c r="AG392" s="49"/>
      <c r="AH392" s="49"/>
      <c r="AI392" s="35"/>
      <c r="AJ392" s="35"/>
      <c r="AK392" s="35"/>
      <c r="AL392" s="35"/>
      <c r="AM392" s="35"/>
    </row>
    <row r="393" spans="2:39" ht="17.25" customHeight="1" thickBot="1">
      <c r="B393" s="19"/>
      <c r="C393" s="19"/>
      <c r="D393" s="19"/>
      <c r="E393" s="19"/>
      <c r="F393" s="19"/>
      <c r="G393" s="19"/>
      <c r="H393" s="47" t="str">
        <f>IF(K393="자산취득비",COUNTIF($K$361:K393,"자산취득비"),IF(K393="설계비",(COUNTIF($K$361:$M$420,"자산취득비")+1)+COUNTIF($K$361:K393,"설계비"),IF(K393="시설비",(COUNTIF($K$361:$M$420,"자산취득비")+1)+(COUNTIF($K$361:$M$420,"설계비")+1)+COUNTIF($K$361:K393,"시설비"),"")))</f>
        <v/>
      </c>
      <c r="I393" s="341" t="str">
        <f t="shared" si="424"/>
        <v/>
      </c>
      <c r="J393" s="342"/>
      <c r="K393" s="344"/>
      <c r="L393" s="344"/>
      <c r="M393" s="344"/>
      <c r="N393" s="361" t="str">
        <f t="shared" si="435"/>
        <v/>
      </c>
      <c r="O393" s="362"/>
      <c r="P393" s="362"/>
      <c r="Q393" s="363"/>
      <c r="R393" s="280"/>
      <c r="S393" s="281"/>
      <c r="T393" s="284"/>
      <c r="U393" s="273"/>
      <c r="V393" s="274"/>
      <c r="W393" s="274"/>
      <c r="X393" s="274"/>
      <c r="Y393" s="274"/>
      <c r="Z393" s="274"/>
      <c r="AA393" s="275"/>
      <c r="AB393" s="353"/>
      <c r="AC393" s="353"/>
      <c r="AD393" s="353"/>
      <c r="AE393" s="354"/>
      <c r="AF393" s="35"/>
      <c r="AG393" s="49"/>
      <c r="AH393" s="49"/>
      <c r="AI393" s="35"/>
      <c r="AJ393" s="35"/>
      <c r="AK393" s="35"/>
      <c r="AL393" s="35"/>
      <c r="AM393" s="35"/>
    </row>
    <row r="394" spans="2:39" ht="16.5" customHeight="1">
      <c r="B394" s="19"/>
      <c r="C394" s="19"/>
      <c r="D394" s="19"/>
      <c r="E394" s="19"/>
      <c r="F394" s="19"/>
      <c r="G394" s="19"/>
      <c r="H394" s="47" t="str">
        <f>IF(K394="자산취득비",COUNTIF($K$361:K394,"자산취득비"),IF(K394="설계비",(COUNTIF($K$361:$M$420,"자산취득비")+1)+COUNTIF($K$361:K394,"설계비"),IF(K394="시설비",(COUNTIF($K$361:$M$420,"자산취득비")+1)+(COUNTIF($K$361:$M$420,"설계비")+1)+COUNTIF($K$361:K394,"시설비"),"")))</f>
        <v/>
      </c>
      <c r="I394" s="337" t="str">
        <f t="shared" si="424"/>
        <v/>
      </c>
      <c r="J394" s="338"/>
      <c r="K394" s="343"/>
      <c r="L394" s="343"/>
      <c r="M394" s="343"/>
      <c r="N394" s="355" t="str">
        <f>IFERROR($CV$178,"")</f>
        <v/>
      </c>
      <c r="O394" s="356"/>
      <c r="P394" s="356"/>
      <c r="Q394" s="357"/>
      <c r="R394" s="276" t="s">
        <v>499</v>
      </c>
      <c r="S394" s="277"/>
      <c r="T394" s="282"/>
      <c r="U394" s="270"/>
      <c r="V394" s="271"/>
      <c r="W394" s="271"/>
      <c r="X394" s="271"/>
      <c r="Y394" s="271"/>
      <c r="Z394" s="271"/>
      <c r="AA394" s="272"/>
      <c r="AB394" s="345"/>
      <c r="AC394" s="345"/>
      <c r="AD394" s="345"/>
      <c r="AE394" s="346"/>
      <c r="AF394" s="35"/>
      <c r="AG394" s="49"/>
      <c r="AH394" s="49"/>
      <c r="AI394" s="35"/>
      <c r="AJ394" s="35"/>
      <c r="AK394" s="35"/>
      <c r="AL394" s="35"/>
      <c r="AM394" s="35"/>
    </row>
    <row r="395" spans="2:39" ht="16.5" customHeight="1">
      <c r="B395" s="19"/>
      <c r="C395" s="19"/>
      <c r="D395" s="19"/>
      <c r="E395" s="19"/>
      <c r="F395" s="19"/>
      <c r="G395" s="19"/>
      <c r="H395" s="47" t="str">
        <f>IF(K395="자산취득비",COUNTIF($K$361:K395,"자산취득비"),IF(K395="설계비",(COUNTIF($K$361:$M$420,"자산취득비")+1)+COUNTIF($K$361:K395,"설계비"),IF(K395="시설비",(COUNTIF($K$361:$M$420,"자산취득비")+1)+(COUNTIF($K$361:$M$420,"설계비")+1)+COUNTIF($K$361:K395,"시설비"),"")))</f>
        <v/>
      </c>
      <c r="I395" s="339" t="str">
        <f t="shared" si="424"/>
        <v/>
      </c>
      <c r="J395" s="340"/>
      <c r="K395" s="261"/>
      <c r="L395" s="261"/>
      <c r="M395" s="261"/>
      <c r="N395" s="358" t="str">
        <f t="shared" ref="N395:N396" si="436">IFERROR($CV$178,"")</f>
        <v/>
      </c>
      <c r="O395" s="359"/>
      <c r="P395" s="359"/>
      <c r="Q395" s="360"/>
      <c r="R395" s="278"/>
      <c r="S395" s="279"/>
      <c r="T395" s="283"/>
      <c r="U395" s="261"/>
      <c r="V395" s="261"/>
      <c r="W395" s="261"/>
      <c r="X395" s="261"/>
      <c r="Y395" s="261"/>
      <c r="Z395" s="261"/>
      <c r="AA395" s="261"/>
      <c r="AB395" s="347"/>
      <c r="AC395" s="347"/>
      <c r="AD395" s="347"/>
      <c r="AE395" s="348"/>
      <c r="AF395" s="35"/>
      <c r="AG395" s="49"/>
      <c r="AH395" s="49"/>
      <c r="AI395" s="35"/>
      <c r="AJ395" s="35"/>
      <c r="AK395" s="35"/>
      <c r="AL395" s="35"/>
      <c r="AM395" s="35"/>
    </row>
    <row r="396" spans="2:39" ht="17.25" customHeight="1" thickBot="1">
      <c r="B396" s="19"/>
      <c r="C396" s="19"/>
      <c r="D396" s="19"/>
      <c r="E396" s="19"/>
      <c r="F396" s="19"/>
      <c r="G396" s="19"/>
      <c r="H396" s="47" t="str">
        <f>IF(K396="자산취득비",COUNTIF($K$361:K396,"자산취득비"),IF(K396="설계비",(COUNTIF($K$361:$M$420,"자산취득비")+1)+COUNTIF($K$361:K396,"설계비"),IF(K396="시설비",(COUNTIF($K$361:$M$420,"자산취득비")+1)+(COUNTIF($K$361:$M$420,"설계비")+1)+COUNTIF($K$361:K396,"시설비"),"")))</f>
        <v/>
      </c>
      <c r="I396" s="341" t="str">
        <f t="shared" si="424"/>
        <v/>
      </c>
      <c r="J396" s="342"/>
      <c r="K396" s="344"/>
      <c r="L396" s="344"/>
      <c r="M396" s="344"/>
      <c r="N396" s="361" t="str">
        <f t="shared" si="436"/>
        <v/>
      </c>
      <c r="O396" s="362"/>
      <c r="P396" s="362"/>
      <c r="Q396" s="363"/>
      <c r="R396" s="280"/>
      <c r="S396" s="281"/>
      <c r="T396" s="284"/>
      <c r="U396" s="273"/>
      <c r="V396" s="274"/>
      <c r="W396" s="274"/>
      <c r="X396" s="274"/>
      <c r="Y396" s="274"/>
      <c r="Z396" s="274"/>
      <c r="AA396" s="275"/>
      <c r="AB396" s="353"/>
      <c r="AC396" s="353"/>
      <c r="AD396" s="353"/>
      <c r="AE396" s="354"/>
      <c r="AF396" s="35"/>
      <c r="AG396" s="49"/>
      <c r="AH396" s="49"/>
      <c r="AI396" s="35"/>
      <c r="AJ396" s="35"/>
      <c r="AK396" s="35"/>
      <c r="AL396" s="35"/>
      <c r="AM396" s="35"/>
    </row>
    <row r="397" spans="2:39" ht="16.5" customHeight="1">
      <c r="B397" s="19"/>
      <c r="C397" s="19"/>
      <c r="D397" s="19"/>
      <c r="E397" s="19"/>
      <c r="F397" s="19"/>
      <c r="G397" s="19"/>
      <c r="H397" s="47" t="str">
        <f>IF(K397="자산취득비",COUNTIF($K$361:K397,"자산취득비"),IF(K397="설계비",(COUNTIF($K$361:$M$420,"자산취득비")+1)+COUNTIF($K$361:K397,"설계비"),IF(K397="시설비",(COUNTIF($K$361:$M$420,"자산취득비")+1)+(COUNTIF($K$361:$M$420,"설계비")+1)+COUNTIF($K$361:K397,"시설비"),"")))</f>
        <v/>
      </c>
      <c r="I397" s="337" t="str">
        <f t="shared" si="424"/>
        <v/>
      </c>
      <c r="J397" s="338"/>
      <c r="K397" s="343"/>
      <c r="L397" s="343"/>
      <c r="M397" s="343"/>
      <c r="N397" s="355" t="str">
        <f>IFERROR($CV$179,"")</f>
        <v/>
      </c>
      <c r="O397" s="356"/>
      <c r="P397" s="356"/>
      <c r="Q397" s="357"/>
      <c r="R397" s="276" t="s">
        <v>499</v>
      </c>
      <c r="S397" s="277"/>
      <c r="T397" s="282"/>
      <c r="U397" s="270"/>
      <c r="V397" s="271"/>
      <c r="W397" s="271"/>
      <c r="X397" s="271"/>
      <c r="Y397" s="271"/>
      <c r="Z397" s="271"/>
      <c r="AA397" s="272"/>
      <c r="AB397" s="345"/>
      <c r="AC397" s="345"/>
      <c r="AD397" s="345"/>
      <c r="AE397" s="346"/>
      <c r="AF397" s="35"/>
      <c r="AG397" s="49"/>
      <c r="AH397" s="49"/>
      <c r="AI397" s="35"/>
      <c r="AJ397" s="35"/>
      <c r="AK397" s="35"/>
      <c r="AL397" s="35"/>
      <c r="AM397" s="35"/>
    </row>
    <row r="398" spans="2:39" ht="16.5" customHeight="1">
      <c r="B398" s="19"/>
      <c r="C398" s="19"/>
      <c r="D398" s="19"/>
      <c r="E398" s="19"/>
      <c r="F398" s="19"/>
      <c r="G398" s="19"/>
      <c r="H398" s="47" t="str">
        <f>IF(K398="자산취득비",COUNTIF($K$361:K398,"자산취득비"),IF(K398="설계비",(COUNTIF($K$361:$M$420,"자산취득비")+1)+COUNTIF($K$361:K398,"설계비"),IF(K398="시설비",(COUNTIF($K$361:$M$420,"자산취득비")+1)+(COUNTIF($K$361:$M$420,"설계비")+1)+COUNTIF($K$361:K398,"시설비"),"")))</f>
        <v/>
      </c>
      <c r="I398" s="339" t="str">
        <f t="shared" si="424"/>
        <v/>
      </c>
      <c r="J398" s="340"/>
      <c r="K398" s="261"/>
      <c r="L398" s="261"/>
      <c r="M398" s="261"/>
      <c r="N398" s="358" t="str">
        <f t="shared" ref="N398:N399" si="437">IFERROR($CV$179,"")</f>
        <v/>
      </c>
      <c r="O398" s="359"/>
      <c r="P398" s="359"/>
      <c r="Q398" s="360"/>
      <c r="R398" s="278"/>
      <c r="S398" s="279"/>
      <c r="T398" s="283"/>
      <c r="U398" s="261"/>
      <c r="V398" s="261"/>
      <c r="W398" s="261"/>
      <c r="X398" s="261"/>
      <c r="Y398" s="261"/>
      <c r="Z398" s="261"/>
      <c r="AA398" s="261"/>
      <c r="AB398" s="347"/>
      <c r="AC398" s="347"/>
      <c r="AD398" s="347"/>
      <c r="AE398" s="348"/>
      <c r="AF398" s="35"/>
      <c r="AG398" s="49"/>
      <c r="AH398" s="49"/>
      <c r="AI398" s="35"/>
      <c r="AJ398" s="35"/>
      <c r="AK398" s="35"/>
      <c r="AL398" s="35"/>
      <c r="AM398" s="35"/>
    </row>
    <row r="399" spans="2:39" ht="17.25" customHeight="1" thickBot="1">
      <c r="B399" s="19"/>
      <c r="C399" s="19"/>
      <c r="D399" s="19"/>
      <c r="E399" s="19"/>
      <c r="F399" s="19"/>
      <c r="G399" s="19"/>
      <c r="H399" s="47" t="str">
        <f>IF(K399="자산취득비",COUNTIF($K$361:K399,"자산취득비"),IF(K399="설계비",(COUNTIF($K$361:$M$420,"자산취득비")+1)+COUNTIF($K$361:K399,"설계비"),IF(K399="시설비",(COUNTIF($K$361:$M$420,"자산취득비")+1)+(COUNTIF($K$361:$M$420,"설계비")+1)+COUNTIF($K$361:K399,"시설비"),"")))</f>
        <v/>
      </c>
      <c r="I399" s="341" t="str">
        <f t="shared" si="424"/>
        <v/>
      </c>
      <c r="J399" s="342"/>
      <c r="K399" s="344"/>
      <c r="L399" s="344"/>
      <c r="M399" s="344"/>
      <c r="N399" s="361" t="str">
        <f t="shared" si="437"/>
        <v/>
      </c>
      <c r="O399" s="362"/>
      <c r="P399" s="362"/>
      <c r="Q399" s="363"/>
      <c r="R399" s="280"/>
      <c r="S399" s="281"/>
      <c r="T399" s="284"/>
      <c r="U399" s="273"/>
      <c r="V399" s="274"/>
      <c r="W399" s="274"/>
      <c r="X399" s="274"/>
      <c r="Y399" s="274"/>
      <c r="Z399" s="274"/>
      <c r="AA399" s="275"/>
      <c r="AB399" s="353"/>
      <c r="AC399" s="353"/>
      <c r="AD399" s="353"/>
      <c r="AE399" s="354"/>
      <c r="AF399" s="35"/>
      <c r="AG399" s="49"/>
      <c r="AH399" s="49"/>
      <c r="AI399" s="35"/>
      <c r="AJ399" s="35"/>
      <c r="AK399" s="35"/>
      <c r="AL399" s="35"/>
      <c r="AM399" s="35"/>
    </row>
    <row r="400" spans="2:39" ht="16.5" customHeight="1">
      <c r="B400" s="19"/>
      <c r="C400" s="19"/>
      <c r="D400" s="19"/>
      <c r="E400" s="19"/>
      <c r="F400" s="19"/>
      <c r="G400" s="19"/>
      <c r="H400" s="47" t="str">
        <f>IF(K400="자산취득비",COUNTIF($K$361:K400,"자산취득비"),IF(K400="설계비",(COUNTIF($K$361:$M$420,"자산취득비")+1)+COUNTIF($K$361:K400,"설계비"),IF(K400="시설비",(COUNTIF($K$361:$M$420,"자산취득비")+1)+(COUNTIF($K$361:$M$420,"설계비")+1)+COUNTIF($K$361:K400,"시설비"),"")))</f>
        <v/>
      </c>
      <c r="I400" s="337" t="str">
        <f t="shared" si="424"/>
        <v/>
      </c>
      <c r="J400" s="338"/>
      <c r="K400" s="343"/>
      <c r="L400" s="343"/>
      <c r="M400" s="343"/>
      <c r="N400" s="355" t="str">
        <f>IFERROR($CV$180,"")</f>
        <v/>
      </c>
      <c r="O400" s="356"/>
      <c r="P400" s="356"/>
      <c r="Q400" s="357"/>
      <c r="R400" s="276" t="s">
        <v>499</v>
      </c>
      <c r="S400" s="277"/>
      <c r="T400" s="282"/>
      <c r="U400" s="270"/>
      <c r="V400" s="271"/>
      <c r="W400" s="271"/>
      <c r="X400" s="271"/>
      <c r="Y400" s="271"/>
      <c r="Z400" s="271"/>
      <c r="AA400" s="272"/>
      <c r="AB400" s="345"/>
      <c r="AC400" s="345"/>
      <c r="AD400" s="345"/>
      <c r="AE400" s="346"/>
      <c r="AF400" s="35"/>
      <c r="AG400" s="49"/>
      <c r="AH400" s="49"/>
      <c r="AI400" s="35"/>
      <c r="AJ400" s="35"/>
      <c r="AK400" s="35"/>
      <c r="AL400" s="35"/>
      <c r="AM400" s="35"/>
    </row>
    <row r="401" spans="2:39" ht="16.5" customHeight="1">
      <c r="B401" s="19"/>
      <c r="C401" s="19"/>
      <c r="D401" s="19"/>
      <c r="E401" s="19"/>
      <c r="F401" s="19"/>
      <c r="G401" s="19"/>
      <c r="H401" s="47" t="str">
        <f>IF(K401="자산취득비",COUNTIF($K$361:K401,"자산취득비"),IF(K401="설계비",(COUNTIF($K$361:$M$420,"자산취득비")+1)+COUNTIF($K$361:K401,"설계비"),IF(K401="시설비",(COUNTIF($K$361:$M$420,"자산취득비")+1)+(COUNTIF($K$361:$M$420,"설계비")+1)+COUNTIF($K$361:K401,"시설비"),"")))</f>
        <v/>
      </c>
      <c r="I401" s="339" t="str">
        <f t="shared" si="424"/>
        <v/>
      </c>
      <c r="J401" s="340"/>
      <c r="K401" s="261"/>
      <c r="L401" s="261"/>
      <c r="M401" s="261"/>
      <c r="N401" s="358" t="str">
        <f t="shared" ref="N401:N402" si="438">IFERROR($CV$180,"")</f>
        <v/>
      </c>
      <c r="O401" s="359"/>
      <c r="P401" s="359"/>
      <c r="Q401" s="360"/>
      <c r="R401" s="278"/>
      <c r="S401" s="279"/>
      <c r="T401" s="283"/>
      <c r="U401" s="261"/>
      <c r="V401" s="261"/>
      <c r="W401" s="261"/>
      <c r="X401" s="261"/>
      <c r="Y401" s="261"/>
      <c r="Z401" s="261"/>
      <c r="AA401" s="261"/>
      <c r="AB401" s="347"/>
      <c r="AC401" s="347"/>
      <c r="AD401" s="347"/>
      <c r="AE401" s="348"/>
      <c r="AF401" s="35"/>
      <c r="AG401" s="49"/>
      <c r="AH401" s="49"/>
      <c r="AI401" s="35"/>
      <c r="AJ401" s="35"/>
      <c r="AK401" s="35"/>
      <c r="AL401" s="35"/>
      <c r="AM401" s="35"/>
    </row>
    <row r="402" spans="2:39" ht="17.25" customHeight="1" thickBot="1">
      <c r="B402" s="19"/>
      <c r="C402" s="19"/>
      <c r="D402" s="19"/>
      <c r="E402" s="19"/>
      <c r="F402" s="19"/>
      <c r="G402" s="19"/>
      <c r="H402" s="47" t="str">
        <f>IF(K402="자산취득비",COUNTIF($K$361:K402,"자산취득비"),IF(K402="설계비",(COUNTIF($K$361:$M$420,"자산취득비")+1)+COUNTIF($K$361:K402,"설계비"),IF(K402="시설비",(COUNTIF($K$361:$M$420,"자산취득비")+1)+(COUNTIF($K$361:$M$420,"설계비")+1)+COUNTIF($K$361:K402,"시설비"),"")))</f>
        <v/>
      </c>
      <c r="I402" s="341" t="str">
        <f t="shared" si="424"/>
        <v/>
      </c>
      <c r="J402" s="342"/>
      <c r="K402" s="344"/>
      <c r="L402" s="344"/>
      <c r="M402" s="344"/>
      <c r="N402" s="361" t="str">
        <f t="shared" si="438"/>
        <v/>
      </c>
      <c r="O402" s="362"/>
      <c r="P402" s="362"/>
      <c r="Q402" s="363"/>
      <c r="R402" s="280"/>
      <c r="S402" s="281"/>
      <c r="T402" s="284"/>
      <c r="U402" s="273"/>
      <c r="V402" s="274"/>
      <c r="W402" s="274"/>
      <c r="X402" s="274"/>
      <c r="Y402" s="274"/>
      <c r="Z402" s="274"/>
      <c r="AA402" s="275"/>
      <c r="AB402" s="353"/>
      <c r="AC402" s="353"/>
      <c r="AD402" s="353"/>
      <c r="AE402" s="354"/>
      <c r="AF402" s="35"/>
      <c r="AG402" s="49"/>
      <c r="AH402" s="49"/>
      <c r="AI402" s="35"/>
      <c r="AJ402" s="35"/>
      <c r="AK402" s="35"/>
      <c r="AL402" s="35"/>
      <c r="AM402" s="35"/>
    </row>
    <row r="403" spans="2:39" ht="16.5" customHeight="1">
      <c r="B403" s="19"/>
      <c r="C403" s="19"/>
      <c r="D403" s="19"/>
      <c r="E403" s="19"/>
      <c r="F403" s="19"/>
      <c r="G403" s="19"/>
      <c r="H403" s="47" t="str">
        <f>IF(K403="자산취득비",COUNTIF($K$361:K403,"자산취득비"),IF(K403="설계비",(COUNTIF($K$361:$M$420,"자산취득비")+1)+COUNTIF($K$361:K403,"설계비"),IF(K403="시설비",(COUNTIF($K$361:$M$420,"자산취득비")+1)+(COUNTIF($K$361:$M$420,"설계비")+1)+COUNTIF($K$361:K403,"시설비"),"")))</f>
        <v/>
      </c>
      <c r="I403" s="337" t="str">
        <f t="shared" si="424"/>
        <v/>
      </c>
      <c r="J403" s="338"/>
      <c r="K403" s="343"/>
      <c r="L403" s="343"/>
      <c r="M403" s="343"/>
      <c r="N403" s="355" t="str">
        <f>IFERROR($CV$181,"")</f>
        <v/>
      </c>
      <c r="O403" s="356"/>
      <c r="P403" s="356"/>
      <c r="Q403" s="357"/>
      <c r="R403" s="276" t="s">
        <v>499</v>
      </c>
      <c r="S403" s="277"/>
      <c r="T403" s="282"/>
      <c r="U403" s="270"/>
      <c r="V403" s="271"/>
      <c r="W403" s="271"/>
      <c r="X403" s="271"/>
      <c r="Y403" s="271"/>
      <c r="Z403" s="271"/>
      <c r="AA403" s="272"/>
      <c r="AB403" s="345"/>
      <c r="AC403" s="345"/>
      <c r="AD403" s="345"/>
      <c r="AE403" s="346"/>
      <c r="AF403" s="35"/>
      <c r="AG403" s="49"/>
      <c r="AH403" s="49"/>
      <c r="AI403" s="35"/>
      <c r="AJ403" s="35"/>
      <c r="AK403" s="35"/>
      <c r="AL403" s="35"/>
      <c r="AM403" s="35"/>
    </row>
    <row r="404" spans="2:39" ht="16.5" customHeight="1">
      <c r="B404" s="19"/>
      <c r="C404" s="19"/>
      <c r="D404" s="19"/>
      <c r="E404" s="19"/>
      <c r="F404" s="19"/>
      <c r="G404" s="19"/>
      <c r="H404" s="47" t="str">
        <f>IF(K404="자산취득비",COUNTIF($K$361:K404,"자산취득비"),IF(K404="설계비",(COUNTIF($K$361:$M$420,"자산취득비")+1)+COUNTIF($K$361:K404,"설계비"),IF(K404="시설비",(COUNTIF($K$361:$M$420,"자산취득비")+1)+(COUNTIF($K$361:$M$420,"설계비")+1)+COUNTIF($K$361:K404,"시설비"),"")))</f>
        <v/>
      </c>
      <c r="I404" s="339" t="str">
        <f t="shared" si="424"/>
        <v/>
      </c>
      <c r="J404" s="340"/>
      <c r="K404" s="261"/>
      <c r="L404" s="261"/>
      <c r="M404" s="261"/>
      <c r="N404" s="358" t="str">
        <f t="shared" ref="N404:N405" si="439">IFERROR($CV$181,"")</f>
        <v/>
      </c>
      <c r="O404" s="359"/>
      <c r="P404" s="359"/>
      <c r="Q404" s="360"/>
      <c r="R404" s="278"/>
      <c r="S404" s="279"/>
      <c r="T404" s="283"/>
      <c r="U404" s="261"/>
      <c r="V404" s="261"/>
      <c r="W404" s="261"/>
      <c r="X404" s="261"/>
      <c r="Y404" s="261"/>
      <c r="Z404" s="261"/>
      <c r="AA404" s="261"/>
      <c r="AB404" s="347"/>
      <c r="AC404" s="347"/>
      <c r="AD404" s="347"/>
      <c r="AE404" s="348"/>
      <c r="AF404" s="35"/>
      <c r="AG404" s="49"/>
      <c r="AH404" s="49"/>
      <c r="AI404" s="35"/>
      <c r="AJ404" s="35"/>
      <c r="AK404" s="35"/>
      <c r="AL404" s="35"/>
      <c r="AM404" s="35"/>
    </row>
    <row r="405" spans="2:39" ht="17.25" customHeight="1" thickBot="1">
      <c r="B405" s="19"/>
      <c r="C405" s="19"/>
      <c r="D405" s="19"/>
      <c r="E405" s="19"/>
      <c r="F405" s="19"/>
      <c r="G405" s="19"/>
      <c r="H405" s="47" t="str">
        <f>IF(K405="자산취득비",COUNTIF($K$361:K405,"자산취득비"),IF(K405="설계비",(COUNTIF($K$361:$M$420,"자산취득비")+1)+COUNTIF($K$361:K405,"설계비"),IF(K405="시설비",(COUNTIF($K$361:$M$420,"자산취득비")+1)+(COUNTIF($K$361:$M$420,"설계비")+1)+COUNTIF($K$361:K405,"시설비"),"")))</f>
        <v/>
      </c>
      <c r="I405" s="341" t="str">
        <f t="shared" si="424"/>
        <v/>
      </c>
      <c r="J405" s="342"/>
      <c r="K405" s="344"/>
      <c r="L405" s="344"/>
      <c r="M405" s="344"/>
      <c r="N405" s="361" t="str">
        <f t="shared" si="439"/>
        <v/>
      </c>
      <c r="O405" s="362"/>
      <c r="P405" s="362"/>
      <c r="Q405" s="363"/>
      <c r="R405" s="280"/>
      <c r="S405" s="281"/>
      <c r="T405" s="284"/>
      <c r="U405" s="273"/>
      <c r="V405" s="274"/>
      <c r="W405" s="274"/>
      <c r="X405" s="274"/>
      <c r="Y405" s="274"/>
      <c r="Z405" s="274"/>
      <c r="AA405" s="275"/>
      <c r="AB405" s="353"/>
      <c r="AC405" s="353"/>
      <c r="AD405" s="353"/>
      <c r="AE405" s="354"/>
      <c r="AF405" s="35"/>
      <c r="AG405" s="49"/>
      <c r="AH405" s="49"/>
      <c r="AI405" s="35"/>
      <c r="AJ405" s="35"/>
      <c r="AK405" s="35"/>
      <c r="AL405" s="35"/>
      <c r="AM405" s="35"/>
    </row>
    <row r="406" spans="2:39" ht="16.5" customHeight="1">
      <c r="B406" s="19"/>
      <c r="C406" s="19"/>
      <c r="D406" s="19"/>
      <c r="E406" s="19"/>
      <c r="F406" s="19"/>
      <c r="G406" s="19"/>
      <c r="H406" s="47" t="str">
        <f>IF(K406="자산취득비",COUNTIF($K$361:K406,"자산취득비"),IF(K406="설계비",(COUNTIF($K$361:$M$420,"자산취득비")+1)+COUNTIF($K$361:K406,"설계비"),IF(K406="시설비",(COUNTIF($K$361:$M$420,"자산취득비")+1)+(COUNTIF($K$361:$M$420,"설계비")+1)+COUNTIF($K$361:K406,"시설비"),"")))</f>
        <v/>
      </c>
      <c r="I406" s="337" t="str">
        <f t="shared" si="424"/>
        <v/>
      </c>
      <c r="J406" s="338"/>
      <c r="K406" s="343"/>
      <c r="L406" s="343"/>
      <c r="M406" s="343"/>
      <c r="N406" s="355" t="str">
        <f>IFERROR($CV$182,"")</f>
        <v/>
      </c>
      <c r="O406" s="356"/>
      <c r="P406" s="356"/>
      <c r="Q406" s="357"/>
      <c r="R406" s="276" t="s">
        <v>499</v>
      </c>
      <c r="S406" s="277"/>
      <c r="T406" s="282"/>
      <c r="U406" s="270"/>
      <c r="V406" s="271"/>
      <c r="W406" s="271"/>
      <c r="X406" s="271"/>
      <c r="Y406" s="271"/>
      <c r="Z406" s="271"/>
      <c r="AA406" s="272"/>
      <c r="AB406" s="345"/>
      <c r="AC406" s="345"/>
      <c r="AD406" s="345"/>
      <c r="AE406" s="346"/>
      <c r="AF406" s="35"/>
      <c r="AG406" s="49"/>
      <c r="AH406" s="49"/>
      <c r="AI406" s="35"/>
      <c r="AJ406" s="35"/>
      <c r="AK406" s="35"/>
      <c r="AL406" s="35"/>
      <c r="AM406" s="35"/>
    </row>
    <row r="407" spans="2:39" ht="16.5" customHeight="1">
      <c r="B407" s="19"/>
      <c r="C407" s="19"/>
      <c r="D407" s="19"/>
      <c r="E407" s="19"/>
      <c r="F407" s="19"/>
      <c r="G407" s="19"/>
      <c r="H407" s="47" t="str">
        <f>IF(K407="자산취득비",COUNTIF($K$361:K407,"자산취득비"),IF(K407="설계비",(COUNTIF($K$361:$M$420,"자산취득비")+1)+COUNTIF($K$361:K407,"설계비"),IF(K407="시설비",(COUNTIF($K$361:$M$420,"자산취득비")+1)+(COUNTIF($K$361:$M$420,"설계비")+1)+COUNTIF($K$361:K407,"시설비"),"")))</f>
        <v/>
      </c>
      <c r="I407" s="339" t="str">
        <f t="shared" si="424"/>
        <v/>
      </c>
      <c r="J407" s="340"/>
      <c r="K407" s="261"/>
      <c r="L407" s="261"/>
      <c r="M407" s="261"/>
      <c r="N407" s="358" t="str">
        <f t="shared" ref="N407:N408" si="440">IFERROR($CV$182,"")</f>
        <v/>
      </c>
      <c r="O407" s="359"/>
      <c r="P407" s="359"/>
      <c r="Q407" s="360"/>
      <c r="R407" s="278"/>
      <c r="S407" s="279"/>
      <c r="T407" s="283"/>
      <c r="U407" s="261"/>
      <c r="V407" s="261"/>
      <c r="W407" s="261"/>
      <c r="X407" s="261"/>
      <c r="Y407" s="261"/>
      <c r="Z407" s="261"/>
      <c r="AA407" s="261"/>
      <c r="AB407" s="347"/>
      <c r="AC407" s="347"/>
      <c r="AD407" s="347"/>
      <c r="AE407" s="348"/>
      <c r="AF407" s="35"/>
      <c r="AG407" s="49"/>
      <c r="AH407" s="49"/>
      <c r="AI407" s="35"/>
      <c r="AJ407" s="35"/>
      <c r="AK407" s="35"/>
      <c r="AL407" s="35"/>
      <c r="AM407" s="35"/>
    </row>
    <row r="408" spans="2:39" ht="17.25" customHeight="1" thickBot="1">
      <c r="B408" s="19"/>
      <c r="C408" s="19"/>
      <c r="D408" s="19"/>
      <c r="E408" s="19"/>
      <c r="F408" s="19"/>
      <c r="G408" s="19"/>
      <c r="H408" s="47" t="str">
        <f>IF(K408="자산취득비",COUNTIF($K$361:K408,"자산취득비"),IF(K408="설계비",(COUNTIF($K$361:$M$420,"자산취득비")+1)+COUNTIF($K$361:K408,"설계비"),IF(K408="시설비",(COUNTIF($K$361:$M$420,"자산취득비")+1)+(COUNTIF($K$361:$M$420,"설계비")+1)+COUNTIF($K$361:K408,"시설비"),"")))</f>
        <v/>
      </c>
      <c r="I408" s="341" t="str">
        <f t="shared" si="424"/>
        <v/>
      </c>
      <c r="J408" s="342"/>
      <c r="K408" s="344"/>
      <c r="L408" s="344"/>
      <c r="M408" s="344"/>
      <c r="N408" s="361" t="str">
        <f t="shared" si="440"/>
        <v/>
      </c>
      <c r="O408" s="362"/>
      <c r="P408" s="362"/>
      <c r="Q408" s="363"/>
      <c r="R408" s="280"/>
      <c r="S408" s="281"/>
      <c r="T408" s="284"/>
      <c r="U408" s="273"/>
      <c r="V408" s="274"/>
      <c r="W408" s="274"/>
      <c r="X408" s="274"/>
      <c r="Y408" s="274"/>
      <c r="Z408" s="274"/>
      <c r="AA408" s="275"/>
      <c r="AB408" s="353"/>
      <c r="AC408" s="353"/>
      <c r="AD408" s="353"/>
      <c r="AE408" s="354"/>
      <c r="AF408" s="35"/>
      <c r="AG408" s="49"/>
      <c r="AH408" s="49"/>
      <c r="AI408" s="35"/>
      <c r="AJ408" s="35"/>
      <c r="AK408" s="35"/>
      <c r="AL408" s="35"/>
      <c r="AM408" s="35"/>
    </row>
    <row r="409" spans="2:39" ht="16.5" customHeight="1">
      <c r="B409" s="19"/>
      <c r="C409" s="19"/>
      <c r="D409" s="19"/>
      <c r="E409" s="19"/>
      <c r="F409" s="19"/>
      <c r="G409" s="19"/>
      <c r="H409" s="47" t="str">
        <f>IF(K409="자산취득비",COUNTIF($K$361:K409,"자산취득비"),IF(K409="설계비",(COUNTIF($K$361:$M$420,"자산취득비")+1)+COUNTIF($K$361:K409,"설계비"),IF(K409="시설비",(COUNTIF($K$361:$M$420,"자산취득비")+1)+(COUNTIF($K$361:$M$420,"설계비")+1)+COUNTIF($K$361:K409,"시설비"),"")))</f>
        <v/>
      </c>
      <c r="I409" s="337" t="str">
        <f t="shared" si="424"/>
        <v/>
      </c>
      <c r="J409" s="338"/>
      <c r="K409" s="343"/>
      <c r="L409" s="343"/>
      <c r="M409" s="343"/>
      <c r="N409" s="355" t="str">
        <f>IFERROR($CV$183,"")</f>
        <v/>
      </c>
      <c r="O409" s="356"/>
      <c r="P409" s="356"/>
      <c r="Q409" s="357"/>
      <c r="R409" s="276" t="s">
        <v>499</v>
      </c>
      <c r="S409" s="277"/>
      <c r="T409" s="282"/>
      <c r="U409" s="270"/>
      <c r="V409" s="271"/>
      <c r="W409" s="271"/>
      <c r="X409" s="271"/>
      <c r="Y409" s="271"/>
      <c r="Z409" s="271"/>
      <c r="AA409" s="272"/>
      <c r="AB409" s="345"/>
      <c r="AC409" s="345"/>
      <c r="AD409" s="345"/>
      <c r="AE409" s="346"/>
      <c r="AF409" s="35"/>
      <c r="AG409" s="49"/>
      <c r="AH409" s="49"/>
      <c r="AI409" s="35"/>
      <c r="AJ409" s="35"/>
      <c r="AK409" s="35"/>
      <c r="AL409" s="35"/>
      <c r="AM409" s="35"/>
    </row>
    <row r="410" spans="2:39" ht="16.5" customHeight="1">
      <c r="B410" s="19"/>
      <c r="C410" s="19"/>
      <c r="D410" s="19"/>
      <c r="E410" s="19"/>
      <c r="F410" s="19"/>
      <c r="G410" s="19"/>
      <c r="H410" s="47" t="str">
        <f>IF(K410="자산취득비",COUNTIF($K$361:K410,"자산취득비"),IF(K410="설계비",(COUNTIF($K$361:$M$420,"자산취득비")+1)+COUNTIF($K$361:K410,"설계비"),IF(K410="시설비",(COUNTIF($K$361:$M$420,"자산취득비")+1)+(COUNTIF($K$361:$M$420,"설계비")+1)+COUNTIF($K$361:K410,"시설비"),"")))</f>
        <v/>
      </c>
      <c r="I410" s="339" t="str">
        <f t="shared" si="424"/>
        <v/>
      </c>
      <c r="J410" s="340"/>
      <c r="K410" s="261"/>
      <c r="L410" s="261"/>
      <c r="M410" s="261"/>
      <c r="N410" s="358" t="str">
        <f t="shared" ref="N410:N411" si="441">IFERROR($CV$183,"")</f>
        <v/>
      </c>
      <c r="O410" s="359"/>
      <c r="P410" s="359"/>
      <c r="Q410" s="360"/>
      <c r="R410" s="278"/>
      <c r="S410" s="279"/>
      <c r="T410" s="283"/>
      <c r="U410" s="261"/>
      <c r="V410" s="261"/>
      <c r="W410" s="261"/>
      <c r="X410" s="261"/>
      <c r="Y410" s="261"/>
      <c r="Z410" s="261"/>
      <c r="AA410" s="261"/>
      <c r="AB410" s="347"/>
      <c r="AC410" s="347"/>
      <c r="AD410" s="347"/>
      <c r="AE410" s="348"/>
      <c r="AF410" s="35"/>
      <c r="AG410" s="49"/>
      <c r="AH410" s="49"/>
      <c r="AI410" s="35"/>
      <c r="AJ410" s="35"/>
      <c r="AK410" s="35"/>
      <c r="AL410" s="35"/>
      <c r="AM410" s="35"/>
    </row>
    <row r="411" spans="2:39" ht="17.25" customHeight="1" thickBot="1">
      <c r="B411" s="19"/>
      <c r="C411" s="19"/>
      <c r="D411" s="19"/>
      <c r="E411" s="19"/>
      <c r="F411" s="19"/>
      <c r="G411" s="19"/>
      <c r="H411" s="47" t="str">
        <f>IF(K411="자산취득비",COUNTIF($K$361:K411,"자산취득비"),IF(K411="설계비",(COUNTIF($K$361:$M$420,"자산취득비")+1)+COUNTIF($K$361:K411,"설계비"),IF(K411="시설비",(COUNTIF($K$361:$M$420,"자산취득비")+1)+(COUNTIF($K$361:$M$420,"설계비")+1)+COUNTIF($K$361:K411,"시설비"),"")))</f>
        <v/>
      </c>
      <c r="I411" s="341" t="str">
        <f t="shared" si="424"/>
        <v/>
      </c>
      <c r="J411" s="342"/>
      <c r="K411" s="344"/>
      <c r="L411" s="344"/>
      <c r="M411" s="344"/>
      <c r="N411" s="361" t="str">
        <f t="shared" si="441"/>
        <v/>
      </c>
      <c r="O411" s="362"/>
      <c r="P411" s="362"/>
      <c r="Q411" s="363"/>
      <c r="R411" s="280"/>
      <c r="S411" s="281"/>
      <c r="T411" s="284"/>
      <c r="U411" s="273"/>
      <c r="V411" s="274"/>
      <c r="W411" s="274"/>
      <c r="X411" s="274"/>
      <c r="Y411" s="274"/>
      <c r="Z411" s="274"/>
      <c r="AA411" s="275"/>
      <c r="AB411" s="353"/>
      <c r="AC411" s="353"/>
      <c r="AD411" s="353"/>
      <c r="AE411" s="354"/>
      <c r="AF411" s="35"/>
      <c r="AG411" s="49"/>
      <c r="AH411" s="49"/>
      <c r="AI411" s="35"/>
      <c r="AJ411" s="35"/>
      <c r="AK411" s="35"/>
      <c r="AL411" s="35"/>
      <c r="AM411" s="35"/>
    </row>
    <row r="412" spans="2:39" ht="16.5" customHeight="1">
      <c r="B412" s="19"/>
      <c r="C412" s="19"/>
      <c r="D412" s="19"/>
      <c r="E412" s="19"/>
      <c r="F412" s="19"/>
      <c r="G412" s="19"/>
      <c r="H412" s="47" t="str">
        <f>IF(K412="자산취득비",COUNTIF($K$361:K412,"자산취득비"),IF(K412="설계비",(COUNTIF($K$361:$M$420,"자산취득비")+1)+COUNTIF($K$361:K412,"설계비"),IF(K412="시설비",(COUNTIF($K$361:$M$420,"자산취득비")+1)+(COUNTIF($K$361:$M$420,"설계비")+1)+COUNTIF($K$361:K412,"시설비"),"")))</f>
        <v/>
      </c>
      <c r="I412" s="337" t="str">
        <f t="shared" si="424"/>
        <v/>
      </c>
      <c r="J412" s="338"/>
      <c r="K412" s="343"/>
      <c r="L412" s="343"/>
      <c r="M412" s="343"/>
      <c r="N412" s="355" t="str">
        <f>IFERROR($CV$184,"")</f>
        <v/>
      </c>
      <c r="O412" s="356"/>
      <c r="P412" s="356"/>
      <c r="Q412" s="357"/>
      <c r="R412" s="276" t="s">
        <v>499</v>
      </c>
      <c r="S412" s="277"/>
      <c r="T412" s="282"/>
      <c r="U412" s="270"/>
      <c r="V412" s="271"/>
      <c r="W412" s="271"/>
      <c r="X412" s="271"/>
      <c r="Y412" s="271"/>
      <c r="Z412" s="271"/>
      <c r="AA412" s="272"/>
      <c r="AB412" s="345"/>
      <c r="AC412" s="345"/>
      <c r="AD412" s="345"/>
      <c r="AE412" s="346"/>
      <c r="AF412" s="35"/>
      <c r="AG412" s="49"/>
      <c r="AH412" s="49"/>
      <c r="AI412" s="35"/>
      <c r="AJ412" s="35"/>
      <c r="AK412" s="35"/>
      <c r="AL412" s="35"/>
      <c r="AM412" s="35"/>
    </row>
    <row r="413" spans="2:39" ht="16.5" customHeight="1">
      <c r="B413" s="19"/>
      <c r="C413" s="19"/>
      <c r="D413" s="19"/>
      <c r="E413" s="19"/>
      <c r="F413" s="19"/>
      <c r="G413" s="19"/>
      <c r="H413" s="47" t="str">
        <f>IF(K413="자산취득비",COUNTIF($K$361:K413,"자산취득비"),IF(K413="설계비",(COUNTIF($K$361:$M$420,"자산취득비")+1)+COUNTIF($K$361:K413,"설계비"),IF(K413="시설비",(COUNTIF($K$361:$M$420,"자산취득비")+1)+(COUNTIF($K$361:$M$420,"설계비")+1)+COUNTIF($K$361:K413,"시설비"),"")))</f>
        <v/>
      </c>
      <c r="I413" s="339" t="str">
        <f t="shared" si="424"/>
        <v/>
      </c>
      <c r="J413" s="340"/>
      <c r="K413" s="261"/>
      <c r="L413" s="261"/>
      <c r="M413" s="261"/>
      <c r="N413" s="358" t="str">
        <f t="shared" ref="N413:N414" si="442">IFERROR($CV$184,"")</f>
        <v/>
      </c>
      <c r="O413" s="359"/>
      <c r="P413" s="359"/>
      <c r="Q413" s="360"/>
      <c r="R413" s="278"/>
      <c r="S413" s="279"/>
      <c r="T413" s="283"/>
      <c r="U413" s="261"/>
      <c r="V413" s="261"/>
      <c r="W413" s="261"/>
      <c r="X413" s="261"/>
      <c r="Y413" s="261"/>
      <c r="Z413" s="261"/>
      <c r="AA413" s="261"/>
      <c r="AB413" s="347"/>
      <c r="AC413" s="347"/>
      <c r="AD413" s="347"/>
      <c r="AE413" s="348"/>
      <c r="AF413" s="35"/>
      <c r="AG413" s="49"/>
      <c r="AH413" s="49"/>
      <c r="AI413" s="35"/>
      <c r="AJ413" s="35"/>
      <c r="AK413" s="35"/>
      <c r="AL413" s="35"/>
      <c r="AM413" s="35"/>
    </row>
    <row r="414" spans="2:39" ht="17.25" customHeight="1" thickBot="1">
      <c r="B414" s="19"/>
      <c r="C414" s="19"/>
      <c r="D414" s="19"/>
      <c r="E414" s="19"/>
      <c r="F414" s="19"/>
      <c r="G414" s="19"/>
      <c r="H414" s="47" t="str">
        <f>IF(K414="자산취득비",COUNTIF($K$361:K414,"자산취득비"),IF(K414="설계비",(COUNTIF($K$361:$M$420,"자산취득비")+1)+COUNTIF($K$361:K414,"설계비"),IF(K414="시설비",(COUNTIF($K$361:$M$420,"자산취득비")+1)+(COUNTIF($K$361:$M$420,"설계비")+1)+COUNTIF($K$361:K414,"시설비"),"")))</f>
        <v/>
      </c>
      <c r="I414" s="341" t="str">
        <f t="shared" si="424"/>
        <v/>
      </c>
      <c r="J414" s="342"/>
      <c r="K414" s="344"/>
      <c r="L414" s="344"/>
      <c r="M414" s="344"/>
      <c r="N414" s="361" t="str">
        <f t="shared" si="442"/>
        <v/>
      </c>
      <c r="O414" s="362"/>
      <c r="P414" s="362"/>
      <c r="Q414" s="363"/>
      <c r="R414" s="280"/>
      <c r="S414" s="281"/>
      <c r="T414" s="284"/>
      <c r="U414" s="273"/>
      <c r="V414" s="274"/>
      <c r="W414" s="274"/>
      <c r="X414" s="274"/>
      <c r="Y414" s="274"/>
      <c r="Z414" s="274"/>
      <c r="AA414" s="275"/>
      <c r="AB414" s="353"/>
      <c r="AC414" s="353"/>
      <c r="AD414" s="353"/>
      <c r="AE414" s="354"/>
      <c r="AF414" s="35"/>
      <c r="AG414" s="49"/>
      <c r="AH414" s="49"/>
      <c r="AI414" s="35"/>
      <c r="AJ414" s="35"/>
      <c r="AK414" s="35"/>
      <c r="AL414" s="35"/>
      <c r="AM414" s="35"/>
    </row>
    <row r="415" spans="2:39" ht="16.5" customHeight="1">
      <c r="B415" s="19"/>
      <c r="C415" s="19"/>
      <c r="D415" s="19"/>
      <c r="E415" s="19"/>
      <c r="F415" s="19"/>
      <c r="G415" s="19"/>
      <c r="H415" s="47" t="str">
        <f>IF(K415="자산취득비",COUNTIF($K$361:K415,"자산취득비"),IF(K415="설계비",(COUNTIF($K$361:$M$420,"자산취득비")+1)+COUNTIF($K$361:K415,"설계비"),IF(K415="시설비",(COUNTIF($K$361:$M$420,"자산취득비")+1)+(COUNTIF($K$361:$M$420,"설계비")+1)+COUNTIF($K$361:K415,"시설비"),"")))</f>
        <v/>
      </c>
      <c r="I415" s="337" t="str">
        <f t="shared" si="424"/>
        <v/>
      </c>
      <c r="J415" s="338"/>
      <c r="K415" s="343"/>
      <c r="L415" s="343"/>
      <c r="M415" s="343"/>
      <c r="N415" s="355" t="str">
        <f>IFERROR($CV$185,"")</f>
        <v/>
      </c>
      <c r="O415" s="356"/>
      <c r="P415" s="356"/>
      <c r="Q415" s="357"/>
      <c r="R415" s="276" t="s">
        <v>499</v>
      </c>
      <c r="S415" s="277"/>
      <c r="T415" s="282"/>
      <c r="U415" s="270"/>
      <c r="V415" s="271"/>
      <c r="W415" s="271"/>
      <c r="X415" s="271"/>
      <c r="Y415" s="271"/>
      <c r="Z415" s="271"/>
      <c r="AA415" s="272"/>
      <c r="AB415" s="345"/>
      <c r="AC415" s="345"/>
      <c r="AD415" s="345"/>
      <c r="AE415" s="346"/>
      <c r="AF415" s="35"/>
      <c r="AG415" s="49"/>
      <c r="AH415" s="49"/>
      <c r="AI415" s="35"/>
      <c r="AJ415" s="35"/>
      <c r="AK415" s="35"/>
      <c r="AL415" s="35"/>
      <c r="AM415" s="35"/>
    </row>
    <row r="416" spans="2:39" ht="16.5" customHeight="1">
      <c r="B416" s="19"/>
      <c r="C416" s="19"/>
      <c r="D416" s="19"/>
      <c r="E416" s="19"/>
      <c r="F416" s="19"/>
      <c r="G416" s="19"/>
      <c r="H416" s="47" t="str">
        <f>IF(K416="자산취득비",COUNTIF($K$361:K416,"자산취득비"),IF(K416="설계비",(COUNTIF($K$361:$M$420,"자산취득비")+1)+COUNTIF($K$361:K416,"설계비"),IF(K416="시설비",(COUNTIF($K$361:$M$420,"자산취득비")+1)+(COUNTIF($K$361:$M$420,"설계비")+1)+COUNTIF($K$361:K416,"시설비"),"")))</f>
        <v/>
      </c>
      <c r="I416" s="339" t="str">
        <f t="shared" si="424"/>
        <v/>
      </c>
      <c r="J416" s="340"/>
      <c r="K416" s="261"/>
      <c r="L416" s="261"/>
      <c r="M416" s="261"/>
      <c r="N416" s="358" t="str">
        <f t="shared" ref="N416:N417" si="443">IFERROR($CV$185,"")</f>
        <v/>
      </c>
      <c r="O416" s="359"/>
      <c r="P416" s="359"/>
      <c r="Q416" s="360"/>
      <c r="R416" s="278"/>
      <c r="S416" s="279"/>
      <c r="T416" s="283"/>
      <c r="U416" s="261"/>
      <c r="V416" s="261"/>
      <c r="W416" s="261"/>
      <c r="X416" s="261"/>
      <c r="Y416" s="261"/>
      <c r="Z416" s="261"/>
      <c r="AA416" s="261"/>
      <c r="AB416" s="347"/>
      <c r="AC416" s="347"/>
      <c r="AD416" s="347"/>
      <c r="AE416" s="348"/>
      <c r="AF416" s="35"/>
      <c r="AG416" s="49"/>
      <c r="AH416" s="49"/>
      <c r="AI416" s="35"/>
      <c r="AJ416" s="35"/>
      <c r="AK416" s="35"/>
      <c r="AL416" s="35"/>
      <c r="AM416" s="35"/>
    </row>
    <row r="417" spans="2:45" ht="17.25" customHeight="1" thickBot="1">
      <c r="B417" s="19"/>
      <c r="C417" s="19"/>
      <c r="D417" s="19"/>
      <c r="E417" s="19"/>
      <c r="F417" s="19"/>
      <c r="G417" s="19"/>
      <c r="H417" s="47" t="str">
        <f>IF(K417="자산취득비",COUNTIF($K$361:K417,"자산취득비"),IF(K417="설계비",(COUNTIF($K$361:$M$420,"자산취득비")+1)+COUNTIF($K$361:K417,"설계비"),IF(K417="시설비",(COUNTIF($K$361:$M$420,"자산취득비")+1)+(COUNTIF($K$361:$M$420,"설계비")+1)+COUNTIF($K$361:K417,"시설비"),"")))</f>
        <v/>
      </c>
      <c r="I417" s="341" t="str">
        <f t="shared" si="424"/>
        <v/>
      </c>
      <c r="J417" s="342"/>
      <c r="K417" s="344"/>
      <c r="L417" s="344"/>
      <c r="M417" s="344"/>
      <c r="N417" s="361" t="str">
        <f t="shared" si="443"/>
        <v/>
      </c>
      <c r="O417" s="362"/>
      <c r="P417" s="362"/>
      <c r="Q417" s="363"/>
      <c r="R417" s="280"/>
      <c r="S417" s="281"/>
      <c r="T417" s="284"/>
      <c r="U417" s="273"/>
      <c r="V417" s="274"/>
      <c r="W417" s="274"/>
      <c r="X417" s="274"/>
      <c r="Y417" s="274"/>
      <c r="Z417" s="274"/>
      <c r="AA417" s="275"/>
      <c r="AB417" s="353"/>
      <c r="AC417" s="353"/>
      <c r="AD417" s="353"/>
      <c r="AE417" s="354"/>
      <c r="AF417" s="35"/>
      <c r="AG417" s="49"/>
      <c r="AH417" s="49"/>
      <c r="AI417" s="35"/>
      <c r="AJ417" s="35"/>
      <c r="AK417" s="35"/>
      <c r="AL417" s="35"/>
      <c r="AM417" s="35"/>
    </row>
    <row r="418" spans="2:45" ht="16.5" customHeight="1">
      <c r="B418" s="19"/>
      <c r="C418" s="19"/>
      <c r="D418" s="19"/>
      <c r="E418" s="19"/>
      <c r="F418" s="19"/>
      <c r="G418" s="19"/>
      <c r="H418" s="47" t="str">
        <f>IF(K418="자산취득비",COUNTIF($K$361:K418,"자산취득비"),IF(K418="설계비",(COUNTIF($K$361:$M$420,"자산취득비")+1)+COUNTIF($K$361:K418,"설계비"),IF(K418="시설비",(COUNTIF($K$361:$M$420,"자산취득비")+1)+(COUNTIF($K$361:$M$420,"설계비")+1)+COUNTIF($K$361:K418,"시설비"),"")))</f>
        <v/>
      </c>
      <c r="I418" s="337" t="str">
        <f t="shared" si="424"/>
        <v/>
      </c>
      <c r="J418" s="338"/>
      <c r="K418" s="343"/>
      <c r="L418" s="343"/>
      <c r="M418" s="343"/>
      <c r="N418" s="355" t="str">
        <f>IFERROR($CV$186,"")</f>
        <v/>
      </c>
      <c r="O418" s="356"/>
      <c r="P418" s="356"/>
      <c r="Q418" s="357"/>
      <c r="R418" s="276" t="s">
        <v>499</v>
      </c>
      <c r="S418" s="277"/>
      <c r="T418" s="282"/>
      <c r="U418" s="270"/>
      <c r="V418" s="271"/>
      <c r="W418" s="271"/>
      <c r="X418" s="271"/>
      <c r="Y418" s="271"/>
      <c r="Z418" s="271"/>
      <c r="AA418" s="272"/>
      <c r="AB418" s="345"/>
      <c r="AC418" s="345"/>
      <c r="AD418" s="345"/>
      <c r="AE418" s="346"/>
      <c r="AF418" s="35"/>
      <c r="AG418" s="49"/>
      <c r="AH418" s="49"/>
      <c r="AI418" s="35"/>
      <c r="AJ418" s="35"/>
      <c r="AK418" s="35"/>
      <c r="AL418" s="35"/>
      <c r="AM418" s="35"/>
    </row>
    <row r="419" spans="2:45" ht="16.5" customHeight="1">
      <c r="B419" s="19"/>
      <c r="C419" s="19"/>
      <c r="D419" s="19"/>
      <c r="E419" s="19"/>
      <c r="F419" s="19"/>
      <c r="G419" s="19"/>
      <c r="H419" s="47" t="str">
        <f>IF(K419="자산취득비",COUNTIF($K$361:K419,"자산취득비"),IF(K419="설계비",(COUNTIF($K$361:$M$420,"자산취득비")+1)+COUNTIF($K$361:K419,"설계비"),IF(K419="시설비",(COUNTIF($K$361:$M$420,"자산취득비")+1)+(COUNTIF($K$361:$M$420,"설계비")+1)+COUNTIF($K$361:K419,"시설비"),"")))</f>
        <v/>
      </c>
      <c r="I419" s="339" t="str">
        <f t="shared" si="424"/>
        <v/>
      </c>
      <c r="J419" s="340"/>
      <c r="K419" s="261"/>
      <c r="L419" s="261"/>
      <c r="M419" s="261"/>
      <c r="N419" s="358" t="str">
        <f t="shared" ref="N419:N420" si="444">IFERROR($CV$186,"")</f>
        <v/>
      </c>
      <c r="O419" s="359"/>
      <c r="P419" s="359"/>
      <c r="Q419" s="360"/>
      <c r="R419" s="278"/>
      <c r="S419" s="279"/>
      <c r="T419" s="283"/>
      <c r="U419" s="261"/>
      <c r="V419" s="261"/>
      <c r="W419" s="261"/>
      <c r="X419" s="261"/>
      <c r="Y419" s="261"/>
      <c r="Z419" s="261"/>
      <c r="AA419" s="261"/>
      <c r="AB419" s="347"/>
      <c r="AC419" s="347"/>
      <c r="AD419" s="347"/>
      <c r="AE419" s="348"/>
      <c r="AF419" s="35"/>
      <c r="AG419" s="49"/>
      <c r="AH419" s="49"/>
      <c r="AI419" s="35"/>
      <c r="AJ419" s="35"/>
      <c r="AK419" s="35"/>
      <c r="AL419" s="35"/>
      <c r="AM419" s="35"/>
    </row>
    <row r="420" spans="2:45" ht="17.25" customHeight="1" thickBot="1">
      <c r="B420" s="19"/>
      <c r="C420" s="19"/>
      <c r="D420" s="19"/>
      <c r="E420" s="19"/>
      <c r="F420" s="19"/>
      <c r="G420" s="19"/>
      <c r="H420" s="47" t="str">
        <f>IF(K420="자산취득비",COUNTIF($K$361:K420,"자산취득비"),IF(K420="설계비",(COUNTIF($K$361:$M$420,"자산취득비")+1)+COUNTIF($K$361:K420,"설계비"),IF(K420="시설비",(COUNTIF($K$361:$M$420,"자산취득비")+1)+(COUNTIF($K$361:$M$420,"설계비")+1)+COUNTIF($K$361:K420,"시설비"),"")))</f>
        <v/>
      </c>
      <c r="I420" s="341" t="str">
        <f t="shared" si="424"/>
        <v/>
      </c>
      <c r="J420" s="342"/>
      <c r="K420" s="344"/>
      <c r="L420" s="344"/>
      <c r="M420" s="344"/>
      <c r="N420" s="361" t="str">
        <f t="shared" si="444"/>
        <v/>
      </c>
      <c r="O420" s="362"/>
      <c r="P420" s="362"/>
      <c r="Q420" s="363"/>
      <c r="R420" s="280"/>
      <c r="S420" s="281"/>
      <c r="T420" s="284"/>
      <c r="U420" s="273"/>
      <c r="V420" s="274"/>
      <c r="W420" s="274"/>
      <c r="X420" s="274"/>
      <c r="Y420" s="274"/>
      <c r="Z420" s="274"/>
      <c r="AA420" s="275"/>
      <c r="AB420" s="353"/>
      <c r="AC420" s="353"/>
      <c r="AD420" s="353"/>
      <c r="AE420" s="354"/>
      <c r="AF420" s="35"/>
      <c r="AG420" s="49"/>
      <c r="AH420" s="49"/>
      <c r="AI420" s="35"/>
      <c r="AJ420" s="35"/>
      <c r="AK420" s="35"/>
      <c r="AL420" s="35"/>
      <c r="AM420" s="35"/>
    </row>
    <row r="421" spans="2:45" ht="16.5" customHeight="1" thickBot="1">
      <c r="B421" s="19"/>
      <c r="C421" s="19"/>
      <c r="D421" s="19"/>
      <c r="E421" s="19"/>
      <c r="F421" s="19"/>
      <c r="G421" s="19"/>
      <c r="H421" s="47">
        <f>COUNTIF(I361:J420,"유형자산")+1</f>
        <v>1</v>
      </c>
      <c r="I421" s="714" t="s">
        <v>220</v>
      </c>
      <c r="J421" s="696"/>
      <c r="K421" s="694" t="s">
        <v>235</v>
      </c>
      <c r="L421" s="695"/>
      <c r="M421" s="696"/>
      <c r="N421" s="694" t="str">
        <f>IF(N361="","","소계")</f>
        <v>소계</v>
      </c>
      <c r="O421" s="695"/>
      <c r="P421" s="695"/>
      <c r="Q421" s="696"/>
      <c r="R421" s="694" t="s">
        <v>180</v>
      </c>
      <c r="S421" s="695"/>
      <c r="T421" s="695"/>
      <c r="U421" s="695"/>
      <c r="V421" s="695"/>
      <c r="W421" s="695"/>
      <c r="X421" s="695"/>
      <c r="Y421" s="695"/>
      <c r="Z421" s="695"/>
      <c r="AA421" s="696"/>
      <c r="AB421" s="697">
        <f>SUMIF($I$361:$J$420,$I421,$AB$361:$AE$420)</f>
        <v>0</v>
      </c>
      <c r="AC421" s="698"/>
      <c r="AD421" s="698"/>
      <c r="AE421" s="699"/>
      <c r="AF421" s="35"/>
      <c r="AG421" s="49"/>
      <c r="AH421" s="49"/>
      <c r="AI421" s="35"/>
      <c r="AJ421" s="35"/>
      <c r="AK421" s="35"/>
      <c r="AL421" s="35"/>
      <c r="AM421" s="35"/>
      <c r="AS421" s="59"/>
    </row>
    <row r="422" spans="2:45" ht="16.5" customHeight="1" thickBot="1">
      <c r="B422" s="19"/>
      <c r="C422" s="19"/>
      <c r="D422" s="19"/>
      <c r="E422" s="19"/>
      <c r="F422" s="19"/>
      <c r="G422" s="19"/>
      <c r="H422" s="47">
        <f>COUNTIF($I$361:$J$420,"유형자산")+COUNTIF($K$361:$K$420,"설계비")+2</f>
        <v>2</v>
      </c>
      <c r="I422" s="706" t="s">
        <v>221</v>
      </c>
      <c r="J422" s="705"/>
      <c r="K422" s="703" t="s">
        <v>222</v>
      </c>
      <c r="L422" s="704"/>
      <c r="M422" s="705"/>
      <c r="N422" s="703" t="str">
        <f t="shared" ref="N422:N423" si="445">IF(N362="","","계")</f>
        <v>계</v>
      </c>
      <c r="O422" s="704"/>
      <c r="P422" s="704"/>
      <c r="Q422" s="705"/>
      <c r="R422" s="703" t="s">
        <v>61</v>
      </c>
      <c r="S422" s="704"/>
      <c r="T422" s="704"/>
      <c r="U422" s="704"/>
      <c r="V422" s="704"/>
      <c r="W422" s="704"/>
      <c r="X422" s="704"/>
      <c r="Y422" s="704"/>
      <c r="Z422" s="704"/>
      <c r="AA422" s="705"/>
      <c r="AB422" s="700">
        <f t="shared" ref="AB422:AB423" si="446">SUMIF($K$361:$M$420,$K422,$AB$361:$AE$420)</f>
        <v>0</v>
      </c>
      <c r="AC422" s="701"/>
      <c r="AD422" s="701"/>
      <c r="AE422" s="702"/>
      <c r="AF422" s="35"/>
      <c r="AG422" s="49"/>
      <c r="AH422" s="49"/>
      <c r="AI422" s="35"/>
      <c r="AJ422" s="35"/>
      <c r="AK422" s="35"/>
      <c r="AL422" s="35"/>
      <c r="AM422" s="35"/>
      <c r="AS422" s="59"/>
    </row>
    <row r="423" spans="2:45" ht="16.5" customHeight="1" thickBot="1">
      <c r="B423" s="19"/>
      <c r="C423" s="19"/>
      <c r="D423" s="19"/>
      <c r="E423" s="19"/>
      <c r="F423" s="19"/>
      <c r="G423" s="19"/>
      <c r="H423" s="47">
        <f>COUNTIF($I$361:$J$420,"유형자산")+COUNTIF($K$361:$K$420,"설계비")+COUNTIF($K$361:$K$420,"시설비")+3</f>
        <v>10</v>
      </c>
      <c r="I423" s="706" t="s">
        <v>221</v>
      </c>
      <c r="J423" s="705"/>
      <c r="K423" s="703" t="s">
        <v>223</v>
      </c>
      <c r="L423" s="704"/>
      <c r="M423" s="705"/>
      <c r="N423" s="703" t="str">
        <f t="shared" si="445"/>
        <v>계</v>
      </c>
      <c r="O423" s="704"/>
      <c r="P423" s="704"/>
      <c r="Q423" s="705"/>
      <c r="R423" s="703" t="s">
        <v>61</v>
      </c>
      <c r="S423" s="704"/>
      <c r="T423" s="704"/>
      <c r="U423" s="704"/>
      <c r="V423" s="704"/>
      <c r="W423" s="704"/>
      <c r="X423" s="704"/>
      <c r="Y423" s="704"/>
      <c r="Z423" s="704"/>
      <c r="AA423" s="705"/>
      <c r="AB423" s="700">
        <f t="shared" si="446"/>
        <v>950800</v>
      </c>
      <c r="AC423" s="701"/>
      <c r="AD423" s="701"/>
      <c r="AE423" s="702"/>
      <c r="AF423" s="35"/>
      <c r="AG423" s="49"/>
      <c r="AH423" s="49"/>
      <c r="AI423" s="35"/>
      <c r="AJ423" s="35"/>
      <c r="AK423" s="35"/>
      <c r="AL423" s="35"/>
      <c r="AM423" s="35"/>
      <c r="AS423" s="59"/>
    </row>
    <row r="424" spans="2:45" ht="16.5" customHeight="1" thickBot="1">
      <c r="B424" s="19"/>
      <c r="C424" s="19"/>
      <c r="D424" s="19"/>
      <c r="E424" s="19"/>
      <c r="F424" s="19"/>
      <c r="G424" s="19"/>
      <c r="H424" s="47">
        <f>H423+1</f>
        <v>11</v>
      </c>
      <c r="I424" s="707" t="s">
        <v>221</v>
      </c>
      <c r="J424" s="708"/>
      <c r="K424" s="709" t="s">
        <v>224</v>
      </c>
      <c r="L424" s="710"/>
      <c r="M424" s="708"/>
      <c r="N424" s="709" t="str">
        <f>IF(SUM(AB422:AE423)&gt;0,"소계","")</f>
        <v>소계</v>
      </c>
      <c r="O424" s="710"/>
      <c r="P424" s="710"/>
      <c r="Q424" s="708"/>
      <c r="R424" s="709" t="s">
        <v>61</v>
      </c>
      <c r="S424" s="710"/>
      <c r="T424" s="710"/>
      <c r="U424" s="710"/>
      <c r="V424" s="710"/>
      <c r="W424" s="710"/>
      <c r="X424" s="710"/>
      <c r="Y424" s="710"/>
      <c r="Z424" s="710"/>
      <c r="AA424" s="708"/>
      <c r="AB424" s="711">
        <f>SUM(AB422:AE423)</f>
        <v>950800</v>
      </c>
      <c r="AC424" s="712"/>
      <c r="AD424" s="712"/>
      <c r="AE424" s="713"/>
      <c r="AF424" s="35"/>
      <c r="AG424" s="50"/>
      <c r="AH424" s="50"/>
      <c r="AI424" s="35"/>
      <c r="AJ424" s="35"/>
      <c r="AK424" s="35"/>
      <c r="AL424" s="35"/>
      <c r="AM424" s="35"/>
      <c r="AS424" s="59"/>
    </row>
    <row r="425" spans="2:45" ht="16.5" customHeight="1">
      <c r="B425" s="19"/>
      <c r="C425" s="19"/>
      <c r="D425" s="19"/>
      <c r="E425" s="19"/>
      <c r="F425" s="19"/>
      <c r="G425" s="19"/>
      <c r="H425" s="47">
        <f>IF(K425="",0,MAX($H$361:H424)+1)</f>
        <v>12</v>
      </c>
      <c r="I425" s="715" t="s">
        <v>225</v>
      </c>
      <c r="J425" s="357"/>
      <c r="K425" s="716" t="str">
        <f>IF(N425="","","일반용역비")</f>
        <v>일반용역비</v>
      </c>
      <c r="L425" s="717"/>
      <c r="M425" s="718"/>
      <c r="N425" s="270" t="s">
        <v>707</v>
      </c>
      <c r="O425" s="271"/>
      <c r="P425" s="271"/>
      <c r="Q425" s="272"/>
      <c r="R425" s="276" t="s">
        <v>500</v>
      </c>
      <c r="S425" s="277"/>
      <c r="T425" s="181">
        <v>1</v>
      </c>
      <c r="U425" s="335" t="s">
        <v>709</v>
      </c>
      <c r="V425" s="271"/>
      <c r="W425" s="271"/>
      <c r="X425" s="271"/>
      <c r="Y425" s="271"/>
      <c r="Z425" s="271"/>
      <c r="AA425" s="272"/>
      <c r="AB425" s="719">
        <v>30000</v>
      </c>
      <c r="AC425" s="720"/>
      <c r="AD425" s="720"/>
      <c r="AE425" s="721"/>
      <c r="AF425" s="35"/>
      <c r="AG425" s="49"/>
      <c r="AH425" s="49"/>
      <c r="AI425" s="35"/>
      <c r="AJ425" s="35"/>
      <c r="AK425" s="35"/>
      <c r="AL425" s="35"/>
      <c r="AM425" s="35"/>
    </row>
    <row r="426" spans="2:45" ht="16.5" customHeight="1">
      <c r="B426" s="19"/>
      <c r="C426" s="19"/>
      <c r="D426" s="19"/>
      <c r="E426" s="19"/>
      <c r="F426" s="19"/>
      <c r="G426" s="19"/>
      <c r="H426" s="47">
        <f>IF(K426="",0,MAX($H$361:H425)+1)</f>
        <v>13</v>
      </c>
      <c r="I426" s="494" t="s">
        <v>225</v>
      </c>
      <c r="J426" s="360"/>
      <c r="K426" s="722" t="str">
        <f t="shared" ref="K426:K432" si="447">IF(N426="","","일반용역비")</f>
        <v>일반용역비</v>
      </c>
      <c r="L426" s="723"/>
      <c r="M426" s="724"/>
      <c r="N426" s="725" t="s">
        <v>708</v>
      </c>
      <c r="O426" s="726"/>
      <c r="P426" s="726"/>
      <c r="Q426" s="727"/>
      <c r="R426" s="262" t="s">
        <v>500</v>
      </c>
      <c r="S426" s="262"/>
      <c r="T426" s="182">
        <v>1</v>
      </c>
      <c r="U426" s="731" t="s">
        <v>709</v>
      </c>
      <c r="V426" s="261"/>
      <c r="W426" s="261"/>
      <c r="X426" s="261"/>
      <c r="Y426" s="261"/>
      <c r="Z426" s="261"/>
      <c r="AA426" s="261"/>
      <c r="AB426" s="728">
        <v>1600</v>
      </c>
      <c r="AC426" s="729"/>
      <c r="AD426" s="729"/>
      <c r="AE426" s="730"/>
      <c r="AF426" s="35"/>
      <c r="AG426" s="49"/>
      <c r="AH426" s="49"/>
      <c r="AI426" s="35"/>
      <c r="AJ426" s="35"/>
      <c r="AK426" s="35"/>
      <c r="AL426" s="35"/>
      <c r="AM426" s="35"/>
      <c r="AS426" s="62"/>
    </row>
    <row r="427" spans="2:45" ht="16.5" customHeight="1">
      <c r="B427" s="19"/>
      <c r="C427" s="19"/>
      <c r="D427" s="19"/>
      <c r="E427" s="19"/>
      <c r="F427" s="19"/>
      <c r="G427" s="19"/>
      <c r="H427" s="47">
        <f>IF(K427="",0,MAX($H$361:H426)+1)</f>
        <v>0</v>
      </c>
      <c r="I427" s="494" t="s">
        <v>225</v>
      </c>
      <c r="J427" s="360"/>
      <c r="K427" s="722" t="str">
        <f t="shared" si="447"/>
        <v/>
      </c>
      <c r="L427" s="723"/>
      <c r="M427" s="724"/>
      <c r="N427" s="725"/>
      <c r="O427" s="726"/>
      <c r="P427" s="726"/>
      <c r="Q427" s="727"/>
      <c r="R427" s="262" t="s">
        <v>500</v>
      </c>
      <c r="S427" s="262"/>
      <c r="T427" s="182"/>
      <c r="U427" s="261"/>
      <c r="V427" s="261"/>
      <c r="W427" s="261"/>
      <c r="X427" s="261"/>
      <c r="Y427" s="261"/>
      <c r="Z427" s="261"/>
      <c r="AA427" s="261"/>
      <c r="AB427" s="728"/>
      <c r="AC427" s="729"/>
      <c r="AD427" s="729"/>
      <c r="AE427" s="730"/>
      <c r="AF427" s="35"/>
      <c r="AG427" s="49"/>
      <c r="AH427" s="49"/>
      <c r="AI427" s="35"/>
      <c r="AJ427" s="35"/>
      <c r="AK427" s="35"/>
      <c r="AL427" s="35"/>
      <c r="AM427" s="35"/>
      <c r="AS427" s="62"/>
    </row>
    <row r="428" spans="2:45" ht="16.5" customHeight="1">
      <c r="B428" s="19"/>
      <c r="C428" s="19"/>
      <c r="D428" s="19"/>
      <c r="E428" s="19"/>
      <c r="F428" s="19"/>
      <c r="G428" s="19"/>
      <c r="H428" s="47">
        <f>IF(K428="",0,MAX($H$361:H427)+1)</f>
        <v>0</v>
      </c>
      <c r="I428" s="494" t="s">
        <v>225</v>
      </c>
      <c r="J428" s="360"/>
      <c r="K428" s="722" t="str">
        <f t="shared" si="447"/>
        <v/>
      </c>
      <c r="L428" s="723"/>
      <c r="M428" s="724"/>
      <c r="N428" s="725"/>
      <c r="O428" s="726"/>
      <c r="P428" s="726"/>
      <c r="Q428" s="727"/>
      <c r="R428" s="262" t="s">
        <v>500</v>
      </c>
      <c r="S428" s="262"/>
      <c r="T428" s="182"/>
      <c r="U428" s="261"/>
      <c r="V428" s="261"/>
      <c r="W428" s="261"/>
      <c r="X428" s="261"/>
      <c r="Y428" s="261"/>
      <c r="Z428" s="261"/>
      <c r="AA428" s="261"/>
      <c r="AB428" s="728"/>
      <c r="AC428" s="729"/>
      <c r="AD428" s="729"/>
      <c r="AE428" s="730"/>
      <c r="AF428" s="35"/>
      <c r="AG428" s="49"/>
      <c r="AH428" s="49"/>
      <c r="AI428" s="35"/>
      <c r="AJ428" s="35"/>
      <c r="AK428" s="35"/>
      <c r="AL428" s="35"/>
      <c r="AM428" s="35"/>
      <c r="AS428" s="62"/>
    </row>
    <row r="429" spans="2:45" ht="16.5" customHeight="1">
      <c r="B429" s="19"/>
      <c r="C429" s="19"/>
      <c r="D429" s="19"/>
      <c r="E429" s="19"/>
      <c r="F429" s="19"/>
      <c r="G429" s="19"/>
      <c r="H429" s="47">
        <f>IF(K429="",0,MAX($H$361:H428)+1)</f>
        <v>0</v>
      </c>
      <c r="I429" s="494" t="s">
        <v>225</v>
      </c>
      <c r="J429" s="360"/>
      <c r="K429" s="722" t="str">
        <f t="shared" si="447"/>
        <v/>
      </c>
      <c r="L429" s="723"/>
      <c r="M429" s="724"/>
      <c r="N429" s="725"/>
      <c r="O429" s="726"/>
      <c r="P429" s="726"/>
      <c r="Q429" s="727"/>
      <c r="R429" s="262" t="s">
        <v>500</v>
      </c>
      <c r="S429" s="262"/>
      <c r="T429" s="182"/>
      <c r="U429" s="261"/>
      <c r="V429" s="261"/>
      <c r="W429" s="261"/>
      <c r="X429" s="261"/>
      <c r="Y429" s="261"/>
      <c r="Z429" s="261"/>
      <c r="AA429" s="261"/>
      <c r="AB429" s="728"/>
      <c r="AC429" s="729"/>
      <c r="AD429" s="729"/>
      <c r="AE429" s="730"/>
      <c r="AF429" s="35"/>
      <c r="AG429" s="49"/>
      <c r="AH429" s="49"/>
      <c r="AI429" s="35"/>
      <c r="AJ429" s="35"/>
      <c r="AK429" s="35"/>
      <c r="AL429" s="35"/>
      <c r="AM429" s="35"/>
      <c r="AS429" s="62"/>
    </row>
    <row r="430" spans="2:45" ht="16.5" customHeight="1">
      <c r="B430" s="19"/>
      <c r="C430" s="19"/>
      <c r="D430" s="19"/>
      <c r="E430" s="19"/>
      <c r="F430" s="19"/>
      <c r="G430" s="19"/>
      <c r="H430" s="47">
        <f>IF(K430="",0,MAX($H$361:H429)+1)</f>
        <v>0</v>
      </c>
      <c r="I430" s="494" t="s">
        <v>225</v>
      </c>
      <c r="J430" s="360"/>
      <c r="K430" s="722" t="str">
        <f t="shared" si="447"/>
        <v/>
      </c>
      <c r="L430" s="723"/>
      <c r="M430" s="724"/>
      <c r="N430" s="725"/>
      <c r="O430" s="726"/>
      <c r="P430" s="726"/>
      <c r="Q430" s="727"/>
      <c r="R430" s="262" t="s">
        <v>500</v>
      </c>
      <c r="S430" s="262"/>
      <c r="T430" s="182"/>
      <c r="U430" s="261"/>
      <c r="V430" s="261"/>
      <c r="W430" s="261"/>
      <c r="X430" s="261"/>
      <c r="Y430" s="261"/>
      <c r="Z430" s="261"/>
      <c r="AA430" s="261"/>
      <c r="AB430" s="728"/>
      <c r="AC430" s="729"/>
      <c r="AD430" s="729"/>
      <c r="AE430" s="730"/>
      <c r="AF430" s="35"/>
      <c r="AG430" s="49"/>
      <c r="AH430" s="49"/>
      <c r="AI430" s="35"/>
      <c r="AJ430" s="35"/>
      <c r="AK430" s="35"/>
      <c r="AL430" s="35"/>
      <c r="AM430" s="35"/>
      <c r="AS430" s="62"/>
    </row>
    <row r="431" spans="2:45" ht="16.5" customHeight="1">
      <c r="B431" s="19"/>
      <c r="C431" s="19"/>
      <c r="D431" s="19"/>
      <c r="E431" s="19"/>
      <c r="F431" s="19"/>
      <c r="G431" s="19"/>
      <c r="H431" s="47">
        <f>IF(K431="",0,MAX($H$361:H430)+1)</f>
        <v>0</v>
      </c>
      <c r="I431" s="494" t="s">
        <v>225</v>
      </c>
      <c r="J431" s="360"/>
      <c r="K431" s="722" t="str">
        <f t="shared" si="447"/>
        <v/>
      </c>
      <c r="L431" s="723"/>
      <c r="M431" s="724"/>
      <c r="N431" s="725"/>
      <c r="O431" s="726"/>
      <c r="P431" s="726"/>
      <c r="Q431" s="727"/>
      <c r="R431" s="262" t="s">
        <v>500</v>
      </c>
      <c r="S431" s="262"/>
      <c r="T431" s="182"/>
      <c r="U431" s="261"/>
      <c r="V431" s="261"/>
      <c r="W431" s="261"/>
      <c r="X431" s="261"/>
      <c r="Y431" s="261"/>
      <c r="Z431" s="261"/>
      <c r="AA431" s="261"/>
      <c r="AB431" s="728"/>
      <c r="AC431" s="729"/>
      <c r="AD431" s="729"/>
      <c r="AE431" s="730"/>
      <c r="AF431" s="35"/>
      <c r="AG431" s="49"/>
      <c r="AH431" s="49"/>
      <c r="AI431" s="35"/>
      <c r="AJ431" s="35"/>
      <c r="AK431" s="35"/>
      <c r="AL431" s="35"/>
      <c r="AM431" s="35"/>
      <c r="AS431" s="62"/>
    </row>
    <row r="432" spans="2:45" ht="16.5" customHeight="1" thickBot="1">
      <c r="B432" s="19"/>
      <c r="C432" s="19"/>
      <c r="D432" s="19"/>
      <c r="E432" s="19"/>
      <c r="F432" s="19"/>
      <c r="G432" s="19"/>
      <c r="H432" s="47">
        <f>IF(K432="",0,MAX($H$361:H431)+1)</f>
        <v>0</v>
      </c>
      <c r="I432" s="732" t="s">
        <v>225</v>
      </c>
      <c r="J432" s="363"/>
      <c r="K432" s="733" t="str">
        <f t="shared" si="447"/>
        <v/>
      </c>
      <c r="L432" s="734"/>
      <c r="M432" s="735"/>
      <c r="N432" s="736"/>
      <c r="O432" s="737"/>
      <c r="P432" s="737"/>
      <c r="Q432" s="738"/>
      <c r="R432" s="278" t="s">
        <v>500</v>
      </c>
      <c r="S432" s="279"/>
      <c r="T432" s="182"/>
      <c r="U432" s="261"/>
      <c r="V432" s="261"/>
      <c r="W432" s="261"/>
      <c r="X432" s="261"/>
      <c r="Y432" s="261"/>
      <c r="Z432" s="261"/>
      <c r="AA432" s="261"/>
      <c r="AB432" s="739"/>
      <c r="AC432" s="740"/>
      <c r="AD432" s="740"/>
      <c r="AE432" s="741"/>
      <c r="AF432" s="35"/>
      <c r="AG432" s="49"/>
      <c r="AH432" s="49"/>
      <c r="AI432" s="35"/>
      <c r="AJ432" s="35"/>
      <c r="AK432" s="35"/>
      <c r="AL432" s="35"/>
      <c r="AM432" s="35"/>
      <c r="AS432" s="59"/>
    </row>
    <row r="433" spans="2:45" ht="16.5" customHeight="1">
      <c r="B433" s="19"/>
      <c r="C433" s="19"/>
      <c r="D433" s="19"/>
      <c r="E433" s="19"/>
      <c r="F433" s="19"/>
      <c r="G433" s="19"/>
      <c r="H433" s="47">
        <f>IF(K433="",0,$H$441+1)</f>
        <v>0</v>
      </c>
      <c r="I433" s="715" t="s">
        <v>225</v>
      </c>
      <c r="J433" s="357"/>
      <c r="K433" s="763" t="str">
        <f>IF(N433="","","일반수용비")</f>
        <v/>
      </c>
      <c r="L433" s="764"/>
      <c r="M433" s="765"/>
      <c r="N433" s="270"/>
      <c r="O433" s="271"/>
      <c r="P433" s="271"/>
      <c r="Q433" s="272"/>
      <c r="R433" s="276" t="s">
        <v>500</v>
      </c>
      <c r="S433" s="277"/>
      <c r="T433" s="181"/>
      <c r="U433" s="270"/>
      <c r="V433" s="271"/>
      <c r="W433" s="271"/>
      <c r="X433" s="271"/>
      <c r="Y433" s="271"/>
      <c r="Z433" s="271"/>
      <c r="AA433" s="272"/>
      <c r="AB433" s="719"/>
      <c r="AC433" s="720"/>
      <c r="AD433" s="720"/>
      <c r="AE433" s="721"/>
      <c r="AF433" s="35"/>
      <c r="AG433" s="49"/>
      <c r="AH433" s="49"/>
      <c r="AI433" s="35"/>
      <c r="AJ433" s="35"/>
      <c r="AK433" s="35"/>
      <c r="AL433" s="35"/>
      <c r="AM433" s="35"/>
      <c r="AS433" s="62"/>
    </row>
    <row r="434" spans="2:45" ht="16.5" customHeight="1">
      <c r="B434" s="19"/>
      <c r="C434" s="19"/>
      <c r="D434" s="19"/>
      <c r="E434" s="19"/>
      <c r="F434" s="19"/>
      <c r="G434" s="19"/>
      <c r="H434" s="47">
        <f>IF(K434="",0,$H433+1)</f>
        <v>0</v>
      </c>
      <c r="I434" s="494" t="s">
        <v>225</v>
      </c>
      <c r="J434" s="360"/>
      <c r="K434" s="742" t="str">
        <f t="shared" ref="K434:K440" si="448">IF(N434="","","일반수용비")</f>
        <v/>
      </c>
      <c r="L434" s="743"/>
      <c r="M434" s="744"/>
      <c r="N434" s="725"/>
      <c r="O434" s="726"/>
      <c r="P434" s="726"/>
      <c r="Q434" s="727"/>
      <c r="R434" s="262" t="s">
        <v>500</v>
      </c>
      <c r="S434" s="262"/>
      <c r="T434" s="182"/>
      <c r="U434" s="261"/>
      <c r="V434" s="261"/>
      <c r="W434" s="261"/>
      <c r="X434" s="261"/>
      <c r="Y434" s="261"/>
      <c r="Z434" s="261"/>
      <c r="AA434" s="261"/>
      <c r="AB434" s="728"/>
      <c r="AC434" s="729"/>
      <c r="AD434" s="729"/>
      <c r="AE434" s="730"/>
      <c r="AF434" s="35"/>
      <c r="AG434" s="49"/>
      <c r="AH434" s="49"/>
      <c r="AI434" s="35"/>
      <c r="AJ434" s="35"/>
      <c r="AK434" s="35"/>
      <c r="AL434" s="35"/>
      <c r="AM434" s="35"/>
      <c r="AS434" s="59"/>
    </row>
    <row r="435" spans="2:45">
      <c r="B435" s="19"/>
      <c r="C435" s="19"/>
      <c r="D435" s="19"/>
      <c r="E435" s="19"/>
      <c r="F435" s="19"/>
      <c r="G435" s="19"/>
      <c r="H435" s="47">
        <f t="shared" ref="H435:H440" si="449">IF(K435="",0,$H434+1)</f>
        <v>0</v>
      </c>
      <c r="I435" s="494" t="s">
        <v>225</v>
      </c>
      <c r="J435" s="360"/>
      <c r="K435" s="742" t="str">
        <f t="shared" si="448"/>
        <v/>
      </c>
      <c r="L435" s="743"/>
      <c r="M435" s="744"/>
      <c r="N435" s="725"/>
      <c r="O435" s="726"/>
      <c r="P435" s="726"/>
      <c r="Q435" s="727"/>
      <c r="R435" s="262" t="s">
        <v>500</v>
      </c>
      <c r="S435" s="262"/>
      <c r="T435" s="182"/>
      <c r="U435" s="261"/>
      <c r="V435" s="261"/>
      <c r="W435" s="261"/>
      <c r="X435" s="261"/>
      <c r="Y435" s="261"/>
      <c r="Z435" s="261"/>
      <c r="AA435" s="261"/>
      <c r="AB435" s="728"/>
      <c r="AC435" s="729"/>
      <c r="AD435" s="729"/>
      <c r="AE435" s="730"/>
      <c r="AF435" s="35"/>
      <c r="AG435" s="49"/>
      <c r="AH435" s="49"/>
      <c r="AI435" s="35"/>
      <c r="AJ435" s="35"/>
      <c r="AK435" s="35"/>
      <c r="AL435" s="35"/>
      <c r="AM435" s="35"/>
      <c r="AS435" s="59"/>
    </row>
    <row r="436" spans="2:45" ht="16.5" customHeight="1">
      <c r="B436" s="19"/>
      <c r="C436" s="19"/>
      <c r="D436" s="19"/>
      <c r="E436" s="19"/>
      <c r="F436" s="19"/>
      <c r="G436" s="19"/>
      <c r="H436" s="47">
        <f t="shared" si="449"/>
        <v>0</v>
      </c>
      <c r="I436" s="494" t="s">
        <v>225</v>
      </c>
      <c r="J436" s="360"/>
      <c r="K436" s="742" t="str">
        <f t="shared" si="448"/>
        <v/>
      </c>
      <c r="L436" s="743"/>
      <c r="M436" s="744"/>
      <c r="N436" s="725"/>
      <c r="O436" s="726"/>
      <c r="P436" s="726"/>
      <c r="Q436" s="727"/>
      <c r="R436" s="262" t="s">
        <v>500</v>
      </c>
      <c r="S436" s="262"/>
      <c r="T436" s="182"/>
      <c r="U436" s="261"/>
      <c r="V436" s="261"/>
      <c r="W436" s="261"/>
      <c r="X436" s="261"/>
      <c r="Y436" s="261"/>
      <c r="Z436" s="261"/>
      <c r="AA436" s="261"/>
      <c r="AB436" s="728"/>
      <c r="AC436" s="729"/>
      <c r="AD436" s="729"/>
      <c r="AE436" s="730"/>
      <c r="AF436" s="35"/>
      <c r="AG436" s="49"/>
      <c r="AH436" s="49"/>
      <c r="AI436" s="35"/>
      <c r="AJ436" s="35"/>
      <c r="AK436" s="35"/>
      <c r="AL436" s="35"/>
      <c r="AM436" s="35"/>
      <c r="AS436" s="59"/>
    </row>
    <row r="437" spans="2:45">
      <c r="B437" s="19"/>
      <c r="C437" s="19"/>
      <c r="D437" s="19"/>
      <c r="E437" s="19"/>
      <c r="F437" s="19"/>
      <c r="G437" s="19"/>
      <c r="H437" s="47">
        <f t="shared" si="449"/>
        <v>0</v>
      </c>
      <c r="I437" s="494" t="s">
        <v>225</v>
      </c>
      <c r="J437" s="360"/>
      <c r="K437" s="742" t="str">
        <f t="shared" si="448"/>
        <v/>
      </c>
      <c r="L437" s="743"/>
      <c r="M437" s="744"/>
      <c r="N437" s="725"/>
      <c r="O437" s="726"/>
      <c r="P437" s="726"/>
      <c r="Q437" s="727"/>
      <c r="R437" s="262" t="s">
        <v>500</v>
      </c>
      <c r="S437" s="262"/>
      <c r="T437" s="182"/>
      <c r="U437" s="261"/>
      <c r="V437" s="261"/>
      <c r="W437" s="261"/>
      <c r="X437" s="261"/>
      <c r="Y437" s="261"/>
      <c r="Z437" s="261"/>
      <c r="AA437" s="261"/>
      <c r="AB437" s="728"/>
      <c r="AC437" s="729"/>
      <c r="AD437" s="729"/>
      <c r="AE437" s="730"/>
      <c r="AF437" s="35"/>
      <c r="AG437" s="49"/>
      <c r="AH437" s="49"/>
      <c r="AI437" s="35"/>
      <c r="AJ437" s="35"/>
      <c r="AK437" s="35"/>
      <c r="AL437" s="35"/>
      <c r="AM437" s="35"/>
      <c r="AS437" s="59"/>
    </row>
    <row r="438" spans="2:45" ht="16.5" customHeight="1">
      <c r="B438" s="19"/>
      <c r="C438" s="19"/>
      <c r="D438" s="19"/>
      <c r="E438" s="19"/>
      <c r="F438" s="19"/>
      <c r="G438" s="19"/>
      <c r="H438" s="47">
        <f t="shared" si="449"/>
        <v>0</v>
      </c>
      <c r="I438" s="494" t="s">
        <v>225</v>
      </c>
      <c r="J438" s="360"/>
      <c r="K438" s="742" t="str">
        <f t="shared" si="448"/>
        <v/>
      </c>
      <c r="L438" s="743"/>
      <c r="M438" s="744"/>
      <c r="N438" s="725"/>
      <c r="O438" s="726"/>
      <c r="P438" s="726"/>
      <c r="Q438" s="727"/>
      <c r="R438" s="262" t="s">
        <v>500</v>
      </c>
      <c r="S438" s="262"/>
      <c r="T438" s="182"/>
      <c r="U438" s="261"/>
      <c r="V438" s="261"/>
      <c r="W438" s="261"/>
      <c r="X438" s="261"/>
      <c r="Y438" s="261"/>
      <c r="Z438" s="261"/>
      <c r="AA438" s="261"/>
      <c r="AB438" s="728"/>
      <c r="AC438" s="729"/>
      <c r="AD438" s="729"/>
      <c r="AE438" s="730"/>
      <c r="AF438" s="35"/>
      <c r="AG438" s="49"/>
      <c r="AH438" s="49"/>
      <c r="AI438" s="35"/>
      <c r="AJ438" s="35"/>
      <c r="AK438" s="35"/>
      <c r="AL438" s="35"/>
      <c r="AM438" s="35"/>
      <c r="AS438" s="59"/>
    </row>
    <row r="439" spans="2:45">
      <c r="B439" s="19"/>
      <c r="C439" s="19"/>
      <c r="D439" s="19"/>
      <c r="E439" s="19"/>
      <c r="F439" s="19"/>
      <c r="G439" s="19"/>
      <c r="H439" s="47">
        <f t="shared" si="449"/>
        <v>0</v>
      </c>
      <c r="I439" s="494" t="s">
        <v>225</v>
      </c>
      <c r="J439" s="360"/>
      <c r="K439" s="742" t="str">
        <f t="shared" si="448"/>
        <v/>
      </c>
      <c r="L439" s="743"/>
      <c r="M439" s="744"/>
      <c r="N439" s="725"/>
      <c r="O439" s="726"/>
      <c r="P439" s="726"/>
      <c r="Q439" s="727"/>
      <c r="R439" s="262" t="s">
        <v>500</v>
      </c>
      <c r="S439" s="262"/>
      <c r="T439" s="182"/>
      <c r="U439" s="261"/>
      <c r="V439" s="261"/>
      <c r="W439" s="261"/>
      <c r="X439" s="261"/>
      <c r="Y439" s="261"/>
      <c r="Z439" s="261"/>
      <c r="AA439" s="261"/>
      <c r="AB439" s="728"/>
      <c r="AC439" s="729"/>
      <c r="AD439" s="729"/>
      <c r="AE439" s="730"/>
      <c r="AF439" s="35"/>
      <c r="AG439" s="49"/>
      <c r="AH439" s="49"/>
      <c r="AI439" s="35"/>
      <c r="AJ439" s="35"/>
      <c r="AK439" s="35"/>
      <c r="AL439" s="35"/>
      <c r="AM439" s="35"/>
    </row>
    <row r="440" spans="2:45" ht="16.5" customHeight="1" thickBot="1">
      <c r="B440" s="19"/>
      <c r="C440" s="19"/>
      <c r="D440" s="19"/>
      <c r="E440" s="19"/>
      <c r="F440" s="19"/>
      <c r="G440" s="19"/>
      <c r="H440" s="47">
        <f t="shared" si="449"/>
        <v>0</v>
      </c>
      <c r="I440" s="732" t="s">
        <v>225</v>
      </c>
      <c r="J440" s="363"/>
      <c r="K440" s="753" t="str">
        <f t="shared" si="448"/>
        <v/>
      </c>
      <c r="L440" s="754"/>
      <c r="M440" s="755"/>
      <c r="N440" s="736"/>
      <c r="O440" s="737"/>
      <c r="P440" s="737"/>
      <c r="Q440" s="738"/>
      <c r="R440" s="278" t="s">
        <v>500</v>
      </c>
      <c r="S440" s="279"/>
      <c r="T440" s="182"/>
      <c r="U440" s="261"/>
      <c r="V440" s="261"/>
      <c r="W440" s="261"/>
      <c r="X440" s="261"/>
      <c r="Y440" s="261"/>
      <c r="Z440" s="261"/>
      <c r="AA440" s="261"/>
      <c r="AB440" s="739"/>
      <c r="AC440" s="740"/>
      <c r="AD440" s="740"/>
      <c r="AE440" s="741"/>
      <c r="AF440" s="35"/>
      <c r="AG440" s="49"/>
      <c r="AH440" s="49"/>
      <c r="AI440" s="35"/>
      <c r="AJ440" s="35"/>
      <c r="AK440" s="35"/>
      <c r="AL440" s="35"/>
      <c r="AM440" s="35"/>
    </row>
    <row r="441" spans="2:45" ht="17.25" thickBot="1">
      <c r="B441" s="19"/>
      <c r="C441" s="19"/>
      <c r="D441" s="19"/>
      <c r="E441" s="19"/>
      <c r="F441" s="19"/>
      <c r="G441" s="19"/>
      <c r="H441" s="47">
        <f>IF(AB441&gt;0,MAX(H425:H432)+1,0)</f>
        <v>14</v>
      </c>
      <c r="I441" s="756" t="s">
        <v>225</v>
      </c>
      <c r="J441" s="757"/>
      <c r="K441" s="758" t="s">
        <v>226</v>
      </c>
      <c r="L441" s="759"/>
      <c r="M441" s="757"/>
      <c r="N441" s="758" t="s">
        <v>228</v>
      </c>
      <c r="O441" s="759"/>
      <c r="P441" s="759"/>
      <c r="Q441" s="757"/>
      <c r="R441" s="758" t="s">
        <v>61</v>
      </c>
      <c r="S441" s="759"/>
      <c r="T441" s="759"/>
      <c r="U441" s="759"/>
      <c r="V441" s="759"/>
      <c r="W441" s="759"/>
      <c r="X441" s="759"/>
      <c r="Y441" s="759"/>
      <c r="Z441" s="759"/>
      <c r="AA441" s="757"/>
      <c r="AB441" s="760">
        <f>SUMIF($K$425:$M$440,K441,$AB$425:$AE$440)</f>
        <v>31600</v>
      </c>
      <c r="AC441" s="761"/>
      <c r="AD441" s="761"/>
      <c r="AE441" s="762"/>
      <c r="AF441" s="35"/>
      <c r="AG441" s="49"/>
      <c r="AH441" s="49"/>
      <c r="AI441" s="35"/>
      <c r="AJ441" s="35"/>
      <c r="AK441" s="35"/>
      <c r="AL441" s="35"/>
      <c r="AM441" s="35"/>
    </row>
    <row r="442" spans="2:45" ht="16.5" customHeight="1" thickBot="1">
      <c r="B442" s="19"/>
      <c r="C442" s="19"/>
      <c r="D442" s="19"/>
      <c r="E442" s="19"/>
      <c r="F442" s="19"/>
      <c r="G442" s="19"/>
      <c r="H442" s="47">
        <f>IF(AB442&gt;0,MAX(H433:H440)+1,0)</f>
        <v>0</v>
      </c>
      <c r="I442" s="756" t="s">
        <v>225</v>
      </c>
      <c r="J442" s="757"/>
      <c r="K442" s="758" t="s">
        <v>229</v>
      </c>
      <c r="L442" s="759"/>
      <c r="M442" s="757"/>
      <c r="N442" s="758" t="s">
        <v>228</v>
      </c>
      <c r="O442" s="759"/>
      <c r="P442" s="759"/>
      <c r="Q442" s="757"/>
      <c r="R442" s="758" t="s">
        <v>61</v>
      </c>
      <c r="S442" s="759"/>
      <c r="T442" s="759"/>
      <c r="U442" s="759"/>
      <c r="V442" s="759"/>
      <c r="W442" s="759"/>
      <c r="X442" s="759"/>
      <c r="Y442" s="759"/>
      <c r="Z442" s="759"/>
      <c r="AA442" s="757"/>
      <c r="AB442" s="760">
        <f>SUMIF($K$425:$M$440,K442,$AB$425:$AE$440)</f>
        <v>0</v>
      </c>
      <c r="AC442" s="761"/>
      <c r="AD442" s="761"/>
      <c r="AE442" s="762"/>
      <c r="AF442" s="35"/>
      <c r="AG442" s="49"/>
      <c r="AH442" s="49"/>
      <c r="AI442" s="35"/>
      <c r="AJ442" s="35"/>
      <c r="AK442" s="35"/>
      <c r="AL442" s="35"/>
      <c r="AM442" s="35"/>
    </row>
    <row r="443" spans="2:45" ht="17.25" thickBot="1">
      <c r="B443" s="19"/>
      <c r="C443" s="19"/>
      <c r="D443" s="19"/>
      <c r="E443" s="19"/>
      <c r="F443" s="19"/>
      <c r="G443" s="19"/>
      <c r="H443" s="47">
        <f>IF(AB443&gt;0,MAX($H$361:H442)+1,0)</f>
        <v>15</v>
      </c>
      <c r="I443" s="707" t="s">
        <v>225</v>
      </c>
      <c r="J443" s="708"/>
      <c r="K443" s="709" t="s">
        <v>61</v>
      </c>
      <c r="L443" s="710"/>
      <c r="M443" s="708"/>
      <c r="N443" s="709" t="s">
        <v>227</v>
      </c>
      <c r="O443" s="710"/>
      <c r="P443" s="710"/>
      <c r="Q443" s="708"/>
      <c r="R443" s="709" t="s">
        <v>61</v>
      </c>
      <c r="S443" s="710"/>
      <c r="T443" s="710"/>
      <c r="U443" s="710"/>
      <c r="V443" s="710"/>
      <c r="W443" s="710"/>
      <c r="X443" s="710"/>
      <c r="Y443" s="710"/>
      <c r="Z443" s="710"/>
      <c r="AA443" s="708"/>
      <c r="AB443" s="711">
        <f>SUM(AB441:AE442)</f>
        <v>31600</v>
      </c>
      <c r="AC443" s="712"/>
      <c r="AD443" s="712"/>
      <c r="AE443" s="713"/>
      <c r="AF443" s="35"/>
      <c r="AG443" s="49"/>
      <c r="AH443" s="49"/>
      <c r="AI443" s="35"/>
      <c r="AJ443" s="35"/>
      <c r="AK443" s="35"/>
      <c r="AL443" s="35"/>
      <c r="AM443" s="35"/>
    </row>
    <row r="444" spans="2:45" ht="17.25" thickBot="1">
      <c r="B444" s="19"/>
      <c r="C444" s="19"/>
      <c r="D444" s="19"/>
      <c r="E444" s="19"/>
      <c r="F444" s="19"/>
      <c r="G444" s="19"/>
      <c r="H444" s="47">
        <f>IF(AB444&gt;0,MAX($H$361:H443)+1,0)</f>
        <v>16</v>
      </c>
      <c r="I444" s="745" t="s">
        <v>235</v>
      </c>
      <c r="J444" s="746"/>
      <c r="K444" s="747" t="s">
        <v>238</v>
      </c>
      <c r="L444" s="748"/>
      <c r="M444" s="746"/>
      <c r="N444" s="749" t="s">
        <v>237</v>
      </c>
      <c r="O444" s="748"/>
      <c r="P444" s="748"/>
      <c r="Q444" s="746"/>
      <c r="R444" s="749" t="s">
        <v>61</v>
      </c>
      <c r="S444" s="748"/>
      <c r="T444" s="748"/>
      <c r="U444" s="748"/>
      <c r="V444" s="748"/>
      <c r="W444" s="748"/>
      <c r="X444" s="748"/>
      <c r="Y444" s="748"/>
      <c r="Z444" s="748"/>
      <c r="AA444" s="746"/>
      <c r="AB444" s="750">
        <f>SUM(AB421,AB424,AB443)</f>
        <v>982400</v>
      </c>
      <c r="AC444" s="751"/>
      <c r="AD444" s="751"/>
      <c r="AE444" s="752"/>
      <c r="AF444" s="35"/>
      <c r="AG444" s="35"/>
      <c r="AH444" s="35"/>
      <c r="AI444" s="35"/>
      <c r="AJ444" s="35"/>
      <c r="AK444" s="35"/>
      <c r="AL444" s="35"/>
      <c r="AM444" s="35"/>
    </row>
    <row r="445" spans="2:45">
      <c r="B445" s="19"/>
      <c r="C445" s="19"/>
      <c r="D445" s="19"/>
      <c r="E445" s="19"/>
      <c r="F445" s="19"/>
      <c r="G445" s="19"/>
      <c r="H445" s="47">
        <f>MAX(H361:H443)</f>
        <v>15</v>
      </c>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35"/>
      <c r="AG445" s="35"/>
      <c r="AH445" s="35"/>
      <c r="AI445" s="35"/>
      <c r="AJ445" s="35"/>
      <c r="AK445" s="35"/>
      <c r="AL445" s="35"/>
      <c r="AM445" s="35"/>
    </row>
    <row r="446" spans="2:45" ht="17.25" thickBot="1">
      <c r="B446" s="56" t="s">
        <v>656</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row>
    <row r="447" spans="2:45">
      <c r="B447" s="19"/>
      <c r="C447" s="19"/>
      <c r="D447" s="19"/>
      <c r="E447" s="19"/>
      <c r="F447" s="19"/>
      <c r="G447" s="19"/>
      <c r="H447" s="19"/>
      <c r="I447" s="301" t="s">
        <v>56</v>
      </c>
      <c r="J447" s="252"/>
      <c r="K447" s="256" t="s">
        <v>618</v>
      </c>
      <c r="L447" s="250" t="s">
        <v>621</v>
      </c>
      <c r="M447" s="251"/>
      <c r="N447" s="251"/>
      <c r="O447" s="251"/>
      <c r="P447" s="251"/>
      <c r="Q447" s="251"/>
      <c r="R447" s="251"/>
      <c r="S447" s="251"/>
      <c r="T447" s="251"/>
      <c r="U447" s="251"/>
      <c r="V447" s="252"/>
      <c r="W447" s="256" t="s">
        <v>622</v>
      </c>
      <c r="X447" s="258" t="s">
        <v>654</v>
      </c>
      <c r="Y447" s="259"/>
      <c r="Z447" s="259"/>
      <c r="AA447" s="260"/>
      <c r="AB447" s="250" t="s">
        <v>625</v>
      </c>
      <c r="AC447" s="251"/>
      <c r="AD447" s="251"/>
      <c r="AE447" s="265"/>
      <c r="AF447" s="19"/>
      <c r="AG447" s="19"/>
      <c r="AH447" s="19"/>
      <c r="AI447" s="19"/>
      <c r="AJ447" s="19"/>
      <c r="AK447" s="19"/>
      <c r="AL447" s="19"/>
      <c r="AM447" s="19"/>
    </row>
    <row r="448" spans="2:45" ht="17.25" thickBot="1">
      <c r="B448" s="19"/>
      <c r="C448" s="19"/>
      <c r="D448" s="19"/>
      <c r="E448" s="19"/>
      <c r="F448" s="19"/>
      <c r="G448" s="19"/>
      <c r="H448" s="19"/>
      <c r="I448" s="302"/>
      <c r="J448" s="255"/>
      <c r="K448" s="257"/>
      <c r="L448" s="253"/>
      <c r="M448" s="254"/>
      <c r="N448" s="254"/>
      <c r="O448" s="254"/>
      <c r="P448" s="254"/>
      <c r="Q448" s="254"/>
      <c r="R448" s="254"/>
      <c r="S448" s="254"/>
      <c r="T448" s="254"/>
      <c r="U448" s="254"/>
      <c r="V448" s="255"/>
      <c r="W448" s="257"/>
      <c r="X448" s="240" t="s">
        <v>623</v>
      </c>
      <c r="Y448" s="241"/>
      <c r="Z448" s="240" t="s">
        <v>624</v>
      </c>
      <c r="AA448" s="241"/>
      <c r="AB448" s="253"/>
      <c r="AC448" s="254"/>
      <c r="AD448" s="254"/>
      <c r="AE448" s="266"/>
      <c r="AF448" s="19"/>
      <c r="AG448" s="19"/>
      <c r="AH448" s="19"/>
      <c r="AI448" s="19"/>
      <c r="AJ448" s="19"/>
      <c r="AK448" s="19"/>
      <c r="AL448" s="19"/>
      <c r="AM448" s="19"/>
    </row>
    <row r="449" spans="2:39" ht="17.25" thickTop="1">
      <c r="B449" s="19"/>
      <c r="C449" s="19"/>
      <c r="D449" s="19"/>
      <c r="E449" s="19"/>
      <c r="F449" s="19"/>
      <c r="G449" s="19"/>
      <c r="H449" s="19"/>
      <c r="I449" s="242" t="s">
        <v>635</v>
      </c>
      <c r="J449" s="243"/>
      <c r="K449" s="165">
        <v>1</v>
      </c>
      <c r="L449" s="248" t="s">
        <v>619</v>
      </c>
      <c r="M449" s="248"/>
      <c r="N449" s="248" t="s">
        <v>620</v>
      </c>
      <c r="O449" s="248"/>
      <c r="P449" s="248"/>
      <c r="Q449" s="248"/>
      <c r="R449" s="248"/>
      <c r="S449" s="248"/>
      <c r="T449" s="248"/>
      <c r="U449" s="248"/>
      <c r="V449" s="248"/>
      <c r="W449" s="165">
        <v>1</v>
      </c>
      <c r="X449" s="249" t="s">
        <v>712</v>
      </c>
      <c r="Y449" s="249"/>
      <c r="Z449" s="249"/>
      <c r="AA449" s="249"/>
      <c r="AB449" s="267"/>
      <c r="AC449" s="267"/>
      <c r="AD449" s="267"/>
      <c r="AE449" s="268"/>
      <c r="AF449" s="19"/>
      <c r="AG449" s="19"/>
      <c r="AH449" s="19"/>
      <c r="AI449" s="19"/>
      <c r="AJ449" s="19"/>
      <c r="AK449" s="19"/>
      <c r="AL449" s="19"/>
      <c r="AM449" s="19"/>
    </row>
    <row r="450" spans="2:39">
      <c r="B450" s="19"/>
      <c r="C450" s="19"/>
      <c r="D450" s="19"/>
      <c r="E450" s="19"/>
      <c r="F450" s="19"/>
      <c r="G450" s="19"/>
      <c r="H450" s="19"/>
      <c r="I450" s="244"/>
      <c r="J450" s="245"/>
      <c r="K450" s="164">
        <v>2</v>
      </c>
      <c r="L450" s="229" t="s">
        <v>619</v>
      </c>
      <c r="M450" s="229"/>
      <c r="N450" s="229" t="s">
        <v>626</v>
      </c>
      <c r="O450" s="229"/>
      <c r="P450" s="229"/>
      <c r="Q450" s="229"/>
      <c r="R450" s="229"/>
      <c r="S450" s="229"/>
      <c r="T450" s="229"/>
      <c r="U450" s="229"/>
      <c r="V450" s="229"/>
      <c r="W450" s="164">
        <v>1</v>
      </c>
      <c r="X450" s="223" t="s">
        <v>712</v>
      </c>
      <c r="Y450" s="223"/>
      <c r="Z450" s="223"/>
      <c r="AA450" s="223"/>
      <c r="AB450" s="238"/>
      <c r="AC450" s="238"/>
      <c r="AD450" s="238"/>
      <c r="AE450" s="239"/>
      <c r="AF450" s="19"/>
      <c r="AG450" s="19"/>
      <c r="AH450" s="19"/>
      <c r="AI450" s="19"/>
      <c r="AJ450" s="19"/>
      <c r="AK450" s="19"/>
      <c r="AL450" s="19"/>
      <c r="AM450" s="19"/>
    </row>
    <row r="451" spans="2:39">
      <c r="B451" s="19"/>
      <c r="C451" s="19"/>
      <c r="D451" s="19"/>
      <c r="E451" s="19"/>
      <c r="F451" s="19"/>
      <c r="G451" s="19"/>
      <c r="H451" s="19"/>
      <c r="I451" s="244"/>
      <c r="J451" s="245"/>
      <c r="K451" s="164">
        <v>3</v>
      </c>
      <c r="L451" s="229" t="s">
        <v>619</v>
      </c>
      <c r="M451" s="229"/>
      <c r="N451" s="229" t="s">
        <v>627</v>
      </c>
      <c r="O451" s="229"/>
      <c r="P451" s="229"/>
      <c r="Q451" s="229"/>
      <c r="R451" s="229"/>
      <c r="S451" s="229"/>
      <c r="T451" s="229"/>
      <c r="U451" s="229" t="s">
        <v>628</v>
      </c>
      <c r="V451" s="229"/>
      <c r="W451" s="164">
        <v>1</v>
      </c>
      <c r="X451" s="223" t="s">
        <v>712</v>
      </c>
      <c r="Y451" s="223"/>
      <c r="Z451" s="223"/>
      <c r="AA451" s="223"/>
      <c r="AB451" s="238"/>
      <c r="AC451" s="238"/>
      <c r="AD451" s="238"/>
      <c r="AE451" s="239"/>
      <c r="AF451" s="19"/>
      <c r="AG451" s="19"/>
      <c r="AH451" s="19"/>
      <c r="AI451" s="19"/>
      <c r="AJ451" s="19"/>
      <c r="AK451" s="19"/>
      <c r="AL451" s="19"/>
      <c r="AM451" s="19"/>
    </row>
    <row r="452" spans="2:39">
      <c r="B452" s="19"/>
      <c r="C452" s="19"/>
      <c r="D452" s="19"/>
      <c r="E452" s="19"/>
      <c r="F452" s="19"/>
      <c r="G452" s="19"/>
      <c r="H452" s="19"/>
      <c r="I452" s="244"/>
      <c r="J452" s="245"/>
      <c r="K452" s="164">
        <v>4</v>
      </c>
      <c r="L452" s="229" t="s">
        <v>619</v>
      </c>
      <c r="M452" s="229"/>
      <c r="N452" s="229" t="s">
        <v>629</v>
      </c>
      <c r="O452" s="229"/>
      <c r="P452" s="229"/>
      <c r="Q452" s="229"/>
      <c r="R452" s="229"/>
      <c r="S452" s="229"/>
      <c r="T452" s="229"/>
      <c r="U452" s="229" t="s">
        <v>628</v>
      </c>
      <c r="V452" s="229"/>
      <c r="W452" s="164">
        <v>1</v>
      </c>
      <c r="X452" s="223" t="s">
        <v>712</v>
      </c>
      <c r="Y452" s="223"/>
      <c r="Z452" s="223"/>
      <c r="AA452" s="223"/>
      <c r="AB452" s="238"/>
      <c r="AC452" s="238"/>
      <c r="AD452" s="238"/>
      <c r="AE452" s="239"/>
      <c r="AF452" s="19"/>
      <c r="AG452" s="19"/>
      <c r="AH452" s="19"/>
      <c r="AI452" s="19"/>
      <c r="AJ452" s="19"/>
      <c r="AK452" s="19"/>
      <c r="AL452" s="19"/>
      <c r="AM452" s="19"/>
    </row>
    <row r="453" spans="2:39">
      <c r="B453" s="19"/>
      <c r="C453" s="19"/>
      <c r="D453" s="19"/>
      <c r="E453" s="19"/>
      <c r="F453" s="19"/>
      <c r="G453" s="19"/>
      <c r="H453" s="19"/>
      <c r="I453" s="244"/>
      <c r="J453" s="245"/>
      <c r="K453" s="164">
        <v>5</v>
      </c>
      <c r="L453" s="229" t="s">
        <v>619</v>
      </c>
      <c r="M453" s="229"/>
      <c r="N453" s="229" t="s">
        <v>630</v>
      </c>
      <c r="O453" s="229"/>
      <c r="P453" s="229"/>
      <c r="Q453" s="229"/>
      <c r="R453" s="229"/>
      <c r="S453" s="229"/>
      <c r="T453" s="229"/>
      <c r="U453" s="229" t="s">
        <v>628</v>
      </c>
      <c r="V453" s="229"/>
      <c r="W453" s="164">
        <v>1</v>
      </c>
      <c r="X453" s="223" t="s">
        <v>712</v>
      </c>
      <c r="Y453" s="223"/>
      <c r="Z453" s="223"/>
      <c r="AA453" s="223"/>
      <c r="AB453" s="238"/>
      <c r="AC453" s="238"/>
      <c r="AD453" s="238"/>
      <c r="AE453" s="239"/>
      <c r="AF453" s="19"/>
      <c r="AG453" s="19"/>
      <c r="AH453" s="19"/>
      <c r="AI453" s="19"/>
      <c r="AJ453" s="19"/>
      <c r="AK453" s="19"/>
      <c r="AL453" s="19"/>
      <c r="AM453" s="19"/>
    </row>
    <row r="454" spans="2:39">
      <c r="B454" s="19"/>
      <c r="C454" s="19"/>
      <c r="D454" s="19"/>
      <c r="E454" s="19"/>
      <c r="F454" s="19"/>
      <c r="G454" s="19"/>
      <c r="H454" s="19"/>
      <c r="I454" s="244"/>
      <c r="J454" s="245"/>
      <c r="K454" s="229">
        <v>6</v>
      </c>
      <c r="L454" s="229" t="s">
        <v>619</v>
      </c>
      <c r="M454" s="229"/>
      <c r="N454" s="230" t="s">
        <v>631</v>
      </c>
      <c r="O454" s="230"/>
      <c r="P454" s="230"/>
      <c r="Q454" s="230"/>
      <c r="R454" s="230"/>
      <c r="S454" s="230"/>
      <c r="T454" s="230"/>
      <c r="U454" s="229" t="s">
        <v>628</v>
      </c>
      <c r="V454" s="229"/>
      <c r="W454" s="229">
        <v>1</v>
      </c>
      <c r="X454" s="223" t="s">
        <v>712</v>
      </c>
      <c r="Y454" s="223"/>
      <c r="Z454" s="223"/>
      <c r="AA454" s="223"/>
      <c r="AB454" s="225" t="s">
        <v>632</v>
      </c>
      <c r="AC454" s="225"/>
      <c r="AD454" s="225"/>
      <c r="AE454" s="226"/>
      <c r="AF454" s="19"/>
      <c r="AG454" s="19"/>
      <c r="AH454" s="19"/>
      <c r="AI454" s="19"/>
      <c r="AJ454" s="19"/>
      <c r="AK454" s="19"/>
      <c r="AL454" s="19"/>
      <c r="AM454" s="19"/>
    </row>
    <row r="455" spans="2:39">
      <c r="B455" s="19"/>
      <c r="C455" s="19"/>
      <c r="D455" s="19"/>
      <c r="E455" s="19"/>
      <c r="F455" s="19"/>
      <c r="G455" s="19"/>
      <c r="H455" s="19"/>
      <c r="I455" s="244"/>
      <c r="J455" s="245"/>
      <c r="K455" s="229"/>
      <c r="L455" s="229"/>
      <c r="M455" s="229"/>
      <c r="N455" s="230"/>
      <c r="O455" s="230"/>
      <c r="P455" s="230"/>
      <c r="Q455" s="230"/>
      <c r="R455" s="230"/>
      <c r="S455" s="230"/>
      <c r="T455" s="230"/>
      <c r="U455" s="229"/>
      <c r="V455" s="229"/>
      <c r="W455" s="229"/>
      <c r="X455" s="223"/>
      <c r="Y455" s="223"/>
      <c r="Z455" s="223"/>
      <c r="AA455" s="223"/>
      <c r="AB455" s="225"/>
      <c r="AC455" s="225"/>
      <c r="AD455" s="225"/>
      <c r="AE455" s="226"/>
      <c r="AF455" s="19"/>
      <c r="AG455" s="19"/>
      <c r="AH455" s="19"/>
      <c r="AI455" s="19"/>
      <c r="AJ455" s="19"/>
      <c r="AK455" s="19"/>
      <c r="AL455" s="19"/>
      <c r="AM455" s="19"/>
    </row>
    <row r="456" spans="2:39" ht="17.25" thickBot="1">
      <c r="B456" s="19"/>
      <c r="C456" s="19"/>
      <c r="D456" s="19"/>
      <c r="E456" s="19"/>
      <c r="F456" s="19"/>
      <c r="G456" s="19"/>
      <c r="H456" s="19"/>
      <c r="I456" s="246"/>
      <c r="J456" s="247"/>
      <c r="K456" s="235"/>
      <c r="L456" s="235"/>
      <c r="M456" s="235"/>
      <c r="N456" s="330"/>
      <c r="O456" s="330"/>
      <c r="P456" s="330"/>
      <c r="Q456" s="330"/>
      <c r="R456" s="330"/>
      <c r="S456" s="330"/>
      <c r="T456" s="330"/>
      <c r="U456" s="235"/>
      <c r="V456" s="235"/>
      <c r="W456" s="235"/>
      <c r="X456" s="224"/>
      <c r="Y456" s="224"/>
      <c r="Z456" s="224"/>
      <c r="AA456" s="224"/>
      <c r="AB456" s="227"/>
      <c r="AC456" s="227"/>
      <c r="AD456" s="227"/>
      <c r="AE456" s="228"/>
      <c r="AF456" s="19"/>
      <c r="AG456" s="19"/>
      <c r="AH456" s="19"/>
      <c r="AI456" s="19"/>
      <c r="AJ456" s="19"/>
      <c r="AK456" s="19"/>
      <c r="AL456" s="19"/>
      <c r="AM456" s="19"/>
    </row>
    <row r="457" spans="2:39">
      <c r="B457" s="19"/>
      <c r="C457" s="19"/>
      <c r="D457" s="19"/>
      <c r="E457" s="19"/>
      <c r="F457" s="19"/>
      <c r="G457" s="19"/>
      <c r="H457" s="19"/>
      <c r="I457" s="242" t="s">
        <v>653</v>
      </c>
      <c r="J457" s="243"/>
      <c r="K457" s="165">
        <v>7</v>
      </c>
      <c r="L457" s="248" t="s">
        <v>619</v>
      </c>
      <c r="M457" s="248"/>
      <c r="N457" s="248" t="s">
        <v>633</v>
      </c>
      <c r="O457" s="248"/>
      <c r="P457" s="248"/>
      <c r="Q457" s="248"/>
      <c r="R457" s="248"/>
      <c r="S457" s="248"/>
      <c r="T457" s="248"/>
      <c r="U457" s="248" t="s">
        <v>634</v>
      </c>
      <c r="V457" s="248"/>
      <c r="W457" s="165">
        <v>1</v>
      </c>
      <c r="X457" s="249" t="s">
        <v>712</v>
      </c>
      <c r="Y457" s="249"/>
      <c r="Z457" s="249"/>
      <c r="AA457" s="249"/>
      <c r="AB457" s="231"/>
      <c r="AC457" s="231"/>
      <c r="AD457" s="231"/>
      <c r="AE457" s="232"/>
      <c r="AF457" s="19"/>
      <c r="AG457" s="19"/>
      <c r="AH457" s="19"/>
      <c r="AI457" s="19"/>
      <c r="AJ457" s="19"/>
      <c r="AK457" s="19"/>
      <c r="AL457" s="19"/>
      <c r="AM457" s="19"/>
    </row>
    <row r="458" spans="2:39">
      <c r="B458" s="19"/>
      <c r="C458" s="19"/>
      <c r="D458" s="19"/>
      <c r="E458" s="19"/>
      <c r="F458" s="19"/>
      <c r="G458" s="19"/>
      <c r="H458" s="19"/>
      <c r="I458" s="244"/>
      <c r="J458" s="245"/>
      <c r="K458" s="164">
        <v>8</v>
      </c>
      <c r="L458" s="229" t="s">
        <v>619</v>
      </c>
      <c r="M458" s="229"/>
      <c r="N458" s="229" t="s">
        <v>659</v>
      </c>
      <c r="O458" s="229"/>
      <c r="P458" s="229"/>
      <c r="Q458" s="229"/>
      <c r="R458" s="229"/>
      <c r="S458" s="229"/>
      <c r="T458" s="229"/>
      <c r="U458" s="229" t="s">
        <v>628</v>
      </c>
      <c r="V458" s="229"/>
      <c r="W458" s="164">
        <v>1</v>
      </c>
      <c r="X458" s="223" t="s">
        <v>712</v>
      </c>
      <c r="Y458" s="223"/>
      <c r="Z458" s="223"/>
      <c r="AA458" s="223"/>
      <c r="AB458" s="233"/>
      <c r="AC458" s="233"/>
      <c r="AD458" s="233"/>
      <c r="AE458" s="234"/>
      <c r="AF458" s="19"/>
      <c r="AG458" s="19"/>
      <c r="AH458" s="19"/>
      <c r="AI458" s="19"/>
      <c r="AJ458" s="19"/>
      <c r="AK458" s="19"/>
      <c r="AL458" s="19"/>
      <c r="AM458" s="19"/>
    </row>
    <row r="459" spans="2:39">
      <c r="B459" s="19"/>
      <c r="C459" s="19"/>
      <c r="D459" s="19"/>
      <c r="E459" s="19"/>
      <c r="F459" s="19"/>
      <c r="G459" s="19"/>
      <c r="H459" s="19"/>
      <c r="I459" s="244"/>
      <c r="J459" s="245"/>
      <c r="K459" s="229">
        <v>9</v>
      </c>
      <c r="L459" s="229" t="s">
        <v>619</v>
      </c>
      <c r="M459" s="229"/>
      <c r="N459" s="229" t="s">
        <v>636</v>
      </c>
      <c r="O459" s="229"/>
      <c r="P459" s="229"/>
      <c r="Q459" s="229"/>
      <c r="R459" s="229"/>
      <c r="S459" s="229"/>
      <c r="T459" s="229"/>
      <c r="U459" s="229" t="s">
        <v>628</v>
      </c>
      <c r="V459" s="229"/>
      <c r="W459" s="229">
        <v>1</v>
      </c>
      <c r="X459" s="223" t="s">
        <v>712</v>
      </c>
      <c r="Y459" s="223"/>
      <c r="Z459" s="223"/>
      <c r="AA459" s="223"/>
      <c r="AB459" s="225" t="s">
        <v>637</v>
      </c>
      <c r="AC459" s="225"/>
      <c r="AD459" s="225"/>
      <c r="AE459" s="226"/>
      <c r="AF459" s="19"/>
      <c r="AG459" s="19"/>
      <c r="AH459" s="19"/>
      <c r="AI459" s="19"/>
      <c r="AJ459" s="19"/>
      <c r="AK459" s="19"/>
      <c r="AL459" s="19"/>
      <c r="AM459" s="19"/>
    </row>
    <row r="460" spans="2:39">
      <c r="B460" s="19"/>
      <c r="C460" s="19"/>
      <c r="D460" s="19"/>
      <c r="E460" s="19"/>
      <c r="F460" s="19"/>
      <c r="G460" s="19"/>
      <c r="H460" s="19"/>
      <c r="I460" s="244"/>
      <c r="J460" s="245"/>
      <c r="K460" s="229"/>
      <c r="L460" s="229"/>
      <c r="M460" s="229"/>
      <c r="N460" s="229"/>
      <c r="O460" s="229"/>
      <c r="P460" s="229"/>
      <c r="Q460" s="229"/>
      <c r="R460" s="229"/>
      <c r="S460" s="229"/>
      <c r="T460" s="229"/>
      <c r="U460" s="229"/>
      <c r="V460" s="229"/>
      <c r="W460" s="229"/>
      <c r="X460" s="223"/>
      <c r="Y460" s="223"/>
      <c r="Z460" s="223"/>
      <c r="AA460" s="223"/>
      <c r="AB460" s="225"/>
      <c r="AC460" s="225"/>
      <c r="AD460" s="225"/>
      <c r="AE460" s="226"/>
      <c r="AF460" s="19"/>
      <c r="AG460" s="19"/>
      <c r="AH460" s="19"/>
      <c r="AI460" s="19"/>
      <c r="AJ460" s="19"/>
      <c r="AK460" s="19"/>
      <c r="AL460" s="19"/>
      <c r="AM460" s="19"/>
    </row>
    <row r="461" spans="2:39">
      <c r="B461" s="19"/>
      <c r="C461" s="19"/>
      <c r="D461" s="19"/>
      <c r="E461" s="19"/>
      <c r="F461" s="19"/>
      <c r="G461" s="19"/>
      <c r="H461" s="19"/>
      <c r="I461" s="244"/>
      <c r="J461" s="245"/>
      <c r="K461" s="164">
        <v>10</v>
      </c>
      <c r="L461" s="229" t="s">
        <v>619</v>
      </c>
      <c r="M461" s="229"/>
      <c r="N461" s="229" t="s">
        <v>638</v>
      </c>
      <c r="O461" s="229"/>
      <c r="P461" s="229"/>
      <c r="Q461" s="229"/>
      <c r="R461" s="229"/>
      <c r="S461" s="229"/>
      <c r="T461" s="229"/>
      <c r="U461" s="229" t="s">
        <v>628</v>
      </c>
      <c r="V461" s="229"/>
      <c r="W461" s="164">
        <v>1</v>
      </c>
      <c r="X461" s="223" t="s">
        <v>712</v>
      </c>
      <c r="Y461" s="223"/>
      <c r="Z461" s="223"/>
      <c r="AA461" s="223"/>
      <c r="AB461" s="233"/>
      <c r="AC461" s="233"/>
      <c r="AD461" s="233"/>
      <c r="AE461" s="234"/>
      <c r="AF461" s="19"/>
      <c r="AG461" s="19"/>
      <c r="AH461" s="19"/>
      <c r="AI461" s="19"/>
      <c r="AJ461" s="19"/>
      <c r="AK461" s="19"/>
      <c r="AL461" s="19"/>
      <c r="AM461" s="19"/>
    </row>
    <row r="462" spans="2:39">
      <c r="B462" s="19"/>
      <c r="C462" s="19"/>
      <c r="D462" s="19"/>
      <c r="E462" s="19"/>
      <c r="F462" s="19"/>
      <c r="G462" s="19"/>
      <c r="H462" s="19"/>
      <c r="I462" s="244"/>
      <c r="J462" s="245"/>
      <c r="K462" s="229">
        <v>11</v>
      </c>
      <c r="L462" s="229" t="s">
        <v>619</v>
      </c>
      <c r="M462" s="229"/>
      <c r="N462" s="230" t="s">
        <v>639</v>
      </c>
      <c r="O462" s="229"/>
      <c r="P462" s="229"/>
      <c r="Q462" s="229"/>
      <c r="R462" s="229"/>
      <c r="S462" s="229"/>
      <c r="T462" s="229"/>
      <c r="U462" s="229" t="s">
        <v>634</v>
      </c>
      <c r="V462" s="229"/>
      <c r="W462" s="229">
        <v>1</v>
      </c>
      <c r="X462" s="223" t="s">
        <v>712</v>
      </c>
      <c r="Y462" s="223"/>
      <c r="Z462" s="223"/>
      <c r="AA462" s="223"/>
      <c r="AB462" s="225"/>
      <c r="AC462" s="225"/>
      <c r="AD462" s="225"/>
      <c r="AE462" s="226"/>
      <c r="AF462" s="19"/>
      <c r="AG462" s="19"/>
      <c r="AH462" s="19"/>
      <c r="AI462" s="19"/>
      <c r="AJ462" s="19"/>
      <c r="AK462" s="19"/>
      <c r="AL462" s="19"/>
      <c r="AM462" s="19"/>
    </row>
    <row r="463" spans="2:39">
      <c r="B463" s="19"/>
      <c r="C463" s="19"/>
      <c r="D463" s="19"/>
      <c r="E463" s="19"/>
      <c r="F463" s="19"/>
      <c r="G463" s="19"/>
      <c r="H463" s="19"/>
      <c r="I463" s="244"/>
      <c r="J463" s="245"/>
      <c r="K463" s="229"/>
      <c r="L463" s="229"/>
      <c r="M463" s="229"/>
      <c r="N463" s="229"/>
      <c r="O463" s="229"/>
      <c r="P463" s="229"/>
      <c r="Q463" s="229"/>
      <c r="R463" s="229"/>
      <c r="S463" s="229"/>
      <c r="T463" s="229"/>
      <c r="U463" s="229"/>
      <c r="V463" s="229"/>
      <c r="W463" s="229"/>
      <c r="X463" s="223"/>
      <c r="Y463" s="223"/>
      <c r="Z463" s="223"/>
      <c r="AA463" s="223"/>
      <c r="AB463" s="225"/>
      <c r="AC463" s="225"/>
      <c r="AD463" s="225"/>
      <c r="AE463" s="226"/>
      <c r="AF463" s="19"/>
      <c r="AG463" s="19"/>
      <c r="AH463" s="19"/>
      <c r="AI463" s="19"/>
      <c r="AJ463" s="19"/>
      <c r="AK463" s="19"/>
      <c r="AL463" s="19"/>
      <c r="AM463" s="19"/>
    </row>
    <row r="464" spans="2:39">
      <c r="B464" s="19"/>
      <c r="C464" s="19"/>
      <c r="D464" s="19"/>
      <c r="E464" s="19"/>
      <c r="F464" s="19"/>
      <c r="G464" s="19"/>
      <c r="H464" s="19"/>
      <c r="I464" s="244"/>
      <c r="J464" s="245"/>
      <c r="K464" s="229">
        <v>12</v>
      </c>
      <c r="L464" s="229" t="s">
        <v>619</v>
      </c>
      <c r="M464" s="229"/>
      <c r="N464" s="230" t="s">
        <v>640</v>
      </c>
      <c r="O464" s="229"/>
      <c r="P464" s="229"/>
      <c r="Q464" s="229"/>
      <c r="R464" s="229"/>
      <c r="S464" s="229"/>
      <c r="T464" s="229"/>
      <c r="U464" s="229" t="s">
        <v>634</v>
      </c>
      <c r="V464" s="229"/>
      <c r="W464" s="229">
        <v>1</v>
      </c>
      <c r="X464" s="223" t="s">
        <v>712</v>
      </c>
      <c r="Y464" s="223"/>
      <c r="Z464" s="223"/>
      <c r="AA464" s="223"/>
      <c r="AB464" s="225"/>
      <c r="AC464" s="225"/>
      <c r="AD464" s="225"/>
      <c r="AE464" s="226"/>
      <c r="AF464" s="19"/>
      <c r="AG464" s="19"/>
      <c r="AH464" s="19"/>
      <c r="AI464" s="19"/>
      <c r="AJ464" s="19"/>
      <c r="AK464" s="19"/>
      <c r="AL464" s="19"/>
      <c r="AM464" s="19"/>
    </row>
    <row r="465" spans="2:39">
      <c r="B465" s="19"/>
      <c r="C465" s="19"/>
      <c r="D465" s="19"/>
      <c r="E465" s="19"/>
      <c r="F465" s="19"/>
      <c r="G465" s="19"/>
      <c r="H465" s="19"/>
      <c r="I465" s="244"/>
      <c r="J465" s="245"/>
      <c r="K465" s="229"/>
      <c r="L465" s="229"/>
      <c r="M465" s="229"/>
      <c r="N465" s="229"/>
      <c r="O465" s="229"/>
      <c r="P465" s="229"/>
      <c r="Q465" s="229"/>
      <c r="R465" s="229"/>
      <c r="S465" s="229"/>
      <c r="T465" s="229"/>
      <c r="U465" s="229"/>
      <c r="V465" s="229"/>
      <c r="W465" s="229"/>
      <c r="X465" s="223"/>
      <c r="Y465" s="223"/>
      <c r="Z465" s="223"/>
      <c r="AA465" s="223"/>
      <c r="AB465" s="225"/>
      <c r="AC465" s="225"/>
      <c r="AD465" s="225"/>
      <c r="AE465" s="226"/>
      <c r="AF465" s="19"/>
      <c r="AG465" s="19"/>
      <c r="AH465" s="19"/>
      <c r="AI465" s="19"/>
      <c r="AJ465" s="19"/>
      <c r="AK465" s="19"/>
      <c r="AL465" s="19"/>
      <c r="AM465" s="19"/>
    </row>
    <row r="466" spans="2:39">
      <c r="B466" s="19"/>
      <c r="C466" s="19"/>
      <c r="D466" s="19"/>
      <c r="E466" s="19"/>
      <c r="F466" s="19"/>
      <c r="G466" s="19"/>
      <c r="H466" s="19"/>
      <c r="I466" s="244"/>
      <c r="J466" s="245"/>
      <c r="K466" s="229">
        <v>13</v>
      </c>
      <c r="L466" s="229" t="s">
        <v>619</v>
      </c>
      <c r="M466" s="229"/>
      <c r="N466" s="230" t="s">
        <v>641</v>
      </c>
      <c r="O466" s="229"/>
      <c r="P466" s="229"/>
      <c r="Q466" s="229"/>
      <c r="R466" s="229"/>
      <c r="S466" s="229"/>
      <c r="T466" s="229"/>
      <c r="U466" s="229"/>
      <c r="V466" s="229"/>
      <c r="W466" s="229">
        <v>1</v>
      </c>
      <c r="X466" s="223" t="s">
        <v>712</v>
      </c>
      <c r="Y466" s="223"/>
      <c r="Z466" s="223"/>
      <c r="AA466" s="223"/>
      <c r="AB466" s="225"/>
      <c r="AC466" s="225"/>
      <c r="AD466" s="225"/>
      <c r="AE466" s="226"/>
      <c r="AF466" s="19"/>
      <c r="AG466" s="19"/>
      <c r="AH466" s="19"/>
      <c r="AI466" s="19"/>
      <c r="AJ466" s="19"/>
      <c r="AK466" s="19"/>
      <c r="AL466" s="19"/>
      <c r="AM466" s="19"/>
    </row>
    <row r="467" spans="2:39">
      <c r="B467" s="19"/>
      <c r="C467" s="19"/>
      <c r="D467" s="19"/>
      <c r="E467" s="19"/>
      <c r="F467" s="19"/>
      <c r="G467" s="19"/>
      <c r="H467" s="19"/>
      <c r="I467" s="244"/>
      <c r="J467" s="245"/>
      <c r="K467" s="229"/>
      <c r="L467" s="229"/>
      <c r="M467" s="229"/>
      <c r="N467" s="229"/>
      <c r="O467" s="229"/>
      <c r="P467" s="229"/>
      <c r="Q467" s="229"/>
      <c r="R467" s="229"/>
      <c r="S467" s="229"/>
      <c r="T467" s="229"/>
      <c r="U467" s="229"/>
      <c r="V467" s="229"/>
      <c r="W467" s="229"/>
      <c r="X467" s="223"/>
      <c r="Y467" s="223"/>
      <c r="Z467" s="223"/>
      <c r="AA467" s="223"/>
      <c r="AB467" s="225"/>
      <c r="AC467" s="225"/>
      <c r="AD467" s="225"/>
      <c r="AE467" s="226"/>
      <c r="AF467" s="19"/>
      <c r="AG467" s="19"/>
      <c r="AH467" s="19"/>
      <c r="AI467" s="19"/>
      <c r="AJ467" s="19"/>
      <c r="AK467" s="19"/>
      <c r="AL467" s="19"/>
      <c r="AM467" s="19"/>
    </row>
    <row r="468" spans="2:39">
      <c r="B468" s="19"/>
      <c r="C468" s="19"/>
      <c r="D468" s="19"/>
      <c r="E468" s="19"/>
      <c r="F468" s="19"/>
      <c r="G468" s="19"/>
      <c r="H468" s="19"/>
      <c r="I468" s="244"/>
      <c r="J468" s="245"/>
      <c r="K468" s="229">
        <v>14</v>
      </c>
      <c r="L468" s="229" t="s">
        <v>642</v>
      </c>
      <c r="M468" s="229"/>
      <c r="N468" s="230" t="s">
        <v>643</v>
      </c>
      <c r="O468" s="229"/>
      <c r="P468" s="229"/>
      <c r="Q468" s="229"/>
      <c r="R468" s="229"/>
      <c r="S468" s="229"/>
      <c r="T468" s="229"/>
      <c r="U468" s="229" t="s">
        <v>655</v>
      </c>
      <c r="V468" s="229"/>
      <c r="W468" s="229">
        <v>1</v>
      </c>
      <c r="X468" s="223"/>
      <c r="Y468" s="223"/>
      <c r="Z468" s="223" t="s">
        <v>712</v>
      </c>
      <c r="AA468" s="223"/>
      <c r="AB468" s="225"/>
      <c r="AC468" s="225"/>
      <c r="AD468" s="225"/>
      <c r="AE468" s="226"/>
      <c r="AF468" s="19"/>
      <c r="AG468" s="19"/>
      <c r="AH468" s="19"/>
      <c r="AI468" s="19"/>
      <c r="AJ468" s="19"/>
      <c r="AK468" s="19"/>
      <c r="AL468" s="19"/>
      <c r="AM468" s="19"/>
    </row>
    <row r="469" spans="2:39">
      <c r="B469" s="19"/>
      <c r="C469" s="19"/>
      <c r="D469" s="19"/>
      <c r="E469" s="19"/>
      <c r="F469" s="19"/>
      <c r="G469" s="19"/>
      <c r="H469" s="19"/>
      <c r="I469" s="244"/>
      <c r="J469" s="245"/>
      <c r="K469" s="229"/>
      <c r="L469" s="229"/>
      <c r="M469" s="229"/>
      <c r="N469" s="229"/>
      <c r="O469" s="229"/>
      <c r="P469" s="229"/>
      <c r="Q469" s="229"/>
      <c r="R469" s="229"/>
      <c r="S469" s="229"/>
      <c r="T469" s="229"/>
      <c r="U469" s="229"/>
      <c r="V469" s="229"/>
      <c r="W469" s="229"/>
      <c r="X469" s="223"/>
      <c r="Y469" s="223"/>
      <c r="Z469" s="223"/>
      <c r="AA469" s="223"/>
      <c r="AB469" s="225"/>
      <c r="AC469" s="225"/>
      <c r="AD469" s="225"/>
      <c r="AE469" s="226"/>
      <c r="AF469" s="19"/>
      <c r="AG469" s="19"/>
      <c r="AH469" s="19"/>
      <c r="AI469" s="19"/>
      <c r="AJ469" s="19"/>
      <c r="AK469" s="19"/>
      <c r="AL469" s="19"/>
      <c r="AM469" s="19"/>
    </row>
    <row r="470" spans="2:39">
      <c r="B470" s="19"/>
      <c r="C470" s="19"/>
      <c r="D470" s="19"/>
      <c r="E470" s="19"/>
      <c r="F470" s="19"/>
      <c r="G470" s="19"/>
      <c r="H470" s="19"/>
      <c r="I470" s="244"/>
      <c r="J470" s="245"/>
      <c r="K470" s="229">
        <v>15</v>
      </c>
      <c r="L470" s="229" t="s">
        <v>619</v>
      </c>
      <c r="M470" s="229"/>
      <c r="N470" s="230" t="s">
        <v>644</v>
      </c>
      <c r="O470" s="229"/>
      <c r="P470" s="229"/>
      <c r="Q470" s="229"/>
      <c r="R470" s="229"/>
      <c r="S470" s="229"/>
      <c r="T470" s="229"/>
      <c r="U470" s="229"/>
      <c r="V470" s="229"/>
      <c r="W470" s="229">
        <v>1</v>
      </c>
      <c r="X470" s="223" t="s">
        <v>712</v>
      </c>
      <c r="Y470" s="223"/>
      <c r="Z470" s="223"/>
      <c r="AA470" s="223"/>
      <c r="AB470" s="225" t="s">
        <v>645</v>
      </c>
      <c r="AC470" s="225"/>
      <c r="AD470" s="225"/>
      <c r="AE470" s="226"/>
      <c r="AF470" s="19"/>
      <c r="AG470" s="19"/>
      <c r="AH470" s="19"/>
      <c r="AI470" s="19"/>
      <c r="AJ470" s="19"/>
      <c r="AK470" s="19"/>
      <c r="AL470" s="19"/>
      <c r="AM470" s="19"/>
    </row>
    <row r="471" spans="2:39">
      <c r="B471" s="19"/>
      <c r="C471" s="19"/>
      <c r="D471" s="19"/>
      <c r="E471" s="19"/>
      <c r="F471" s="19"/>
      <c r="G471" s="19"/>
      <c r="H471" s="19"/>
      <c r="I471" s="244"/>
      <c r="J471" s="245"/>
      <c r="K471" s="229"/>
      <c r="L471" s="229"/>
      <c r="M471" s="229"/>
      <c r="N471" s="229"/>
      <c r="O471" s="229"/>
      <c r="P471" s="229"/>
      <c r="Q471" s="229"/>
      <c r="R471" s="229"/>
      <c r="S471" s="229"/>
      <c r="T471" s="229"/>
      <c r="U471" s="229"/>
      <c r="V471" s="229"/>
      <c r="W471" s="229"/>
      <c r="X471" s="223"/>
      <c r="Y471" s="223"/>
      <c r="Z471" s="223"/>
      <c r="AA471" s="223"/>
      <c r="AB471" s="225"/>
      <c r="AC471" s="225"/>
      <c r="AD471" s="225"/>
      <c r="AE471" s="226"/>
      <c r="AF471" s="19"/>
      <c r="AG471" s="19"/>
      <c r="AH471" s="19"/>
      <c r="AI471" s="19"/>
      <c r="AJ471" s="19"/>
      <c r="AK471" s="19"/>
      <c r="AL471" s="19"/>
      <c r="AM471" s="19"/>
    </row>
    <row r="472" spans="2:39">
      <c r="B472" s="19"/>
      <c r="C472" s="19"/>
      <c r="D472" s="19"/>
      <c r="E472" s="19"/>
      <c r="F472" s="19"/>
      <c r="G472" s="19"/>
      <c r="H472" s="19"/>
      <c r="I472" s="244"/>
      <c r="J472" s="245"/>
      <c r="K472" s="164">
        <v>16</v>
      </c>
      <c r="L472" s="229" t="s">
        <v>619</v>
      </c>
      <c r="M472" s="229"/>
      <c r="N472" s="229" t="s">
        <v>646</v>
      </c>
      <c r="O472" s="229"/>
      <c r="P472" s="229"/>
      <c r="Q472" s="229"/>
      <c r="R472" s="229"/>
      <c r="S472" s="229"/>
      <c r="T472" s="229"/>
      <c r="U472" s="229"/>
      <c r="V472" s="229"/>
      <c r="W472" s="164">
        <v>1</v>
      </c>
      <c r="X472" s="223" t="s">
        <v>712</v>
      </c>
      <c r="Y472" s="223"/>
      <c r="Z472" s="223"/>
      <c r="AA472" s="223"/>
      <c r="AB472" s="233"/>
      <c r="AC472" s="233"/>
      <c r="AD472" s="233"/>
      <c r="AE472" s="234"/>
      <c r="AF472" s="19"/>
      <c r="AG472" s="19"/>
      <c r="AH472" s="19"/>
      <c r="AI472" s="19"/>
      <c r="AJ472" s="19"/>
      <c r="AK472" s="19"/>
      <c r="AL472" s="19"/>
      <c r="AM472" s="19"/>
    </row>
    <row r="473" spans="2:39">
      <c r="B473" s="19"/>
      <c r="C473" s="19"/>
      <c r="D473" s="19"/>
      <c r="E473" s="19"/>
      <c r="F473" s="19"/>
      <c r="G473" s="19"/>
      <c r="H473" s="19"/>
      <c r="I473" s="244"/>
      <c r="J473" s="245"/>
      <c r="K473" s="229">
        <v>17</v>
      </c>
      <c r="L473" s="229" t="s">
        <v>619</v>
      </c>
      <c r="M473" s="229"/>
      <c r="N473" s="230" t="s">
        <v>648</v>
      </c>
      <c r="O473" s="230"/>
      <c r="P473" s="230"/>
      <c r="Q473" s="230"/>
      <c r="R473" s="230"/>
      <c r="S473" s="230"/>
      <c r="T473" s="230"/>
      <c r="U473" s="229"/>
      <c r="V473" s="229"/>
      <c r="W473" s="229">
        <v>1</v>
      </c>
      <c r="X473" s="223" t="s">
        <v>712</v>
      </c>
      <c r="Y473" s="223"/>
      <c r="Z473" s="223"/>
      <c r="AA473" s="223"/>
      <c r="AB473" s="236" t="s">
        <v>647</v>
      </c>
      <c r="AC473" s="236"/>
      <c r="AD473" s="236"/>
      <c r="AE473" s="237"/>
      <c r="AF473" s="19"/>
      <c r="AG473" s="19"/>
      <c r="AH473" s="19"/>
      <c r="AI473" s="19"/>
      <c r="AJ473" s="19"/>
      <c r="AK473" s="19"/>
      <c r="AL473" s="19"/>
      <c r="AM473" s="19"/>
    </row>
    <row r="474" spans="2:39">
      <c r="B474" s="19"/>
      <c r="C474" s="19"/>
      <c r="D474" s="19"/>
      <c r="E474" s="19"/>
      <c r="F474" s="19"/>
      <c r="G474" s="19"/>
      <c r="H474" s="19"/>
      <c r="I474" s="244"/>
      <c r="J474" s="245"/>
      <c r="K474" s="229"/>
      <c r="L474" s="229"/>
      <c r="M474" s="229"/>
      <c r="N474" s="230"/>
      <c r="O474" s="230"/>
      <c r="P474" s="230"/>
      <c r="Q474" s="230"/>
      <c r="R474" s="230"/>
      <c r="S474" s="230"/>
      <c r="T474" s="230"/>
      <c r="U474" s="229"/>
      <c r="V474" s="229"/>
      <c r="W474" s="229"/>
      <c r="X474" s="223"/>
      <c r="Y474" s="223"/>
      <c r="Z474" s="223"/>
      <c r="AA474" s="223"/>
      <c r="AB474" s="236"/>
      <c r="AC474" s="236"/>
      <c r="AD474" s="236"/>
      <c r="AE474" s="237"/>
      <c r="AF474" s="19"/>
      <c r="AG474" s="19"/>
      <c r="AH474" s="19"/>
      <c r="AI474" s="19"/>
      <c r="AJ474" s="19"/>
      <c r="AK474" s="19"/>
      <c r="AL474" s="19"/>
      <c r="AM474" s="19"/>
    </row>
    <row r="475" spans="2:39">
      <c r="B475" s="19"/>
      <c r="C475" s="19"/>
      <c r="D475" s="19"/>
      <c r="E475" s="19"/>
      <c r="F475" s="19"/>
      <c r="G475" s="19"/>
      <c r="H475" s="19"/>
      <c r="I475" s="244"/>
      <c r="J475" s="245"/>
      <c r="K475" s="229"/>
      <c r="L475" s="229"/>
      <c r="M475" s="229"/>
      <c r="N475" s="230"/>
      <c r="O475" s="230"/>
      <c r="P475" s="230"/>
      <c r="Q475" s="230"/>
      <c r="R475" s="230"/>
      <c r="S475" s="230"/>
      <c r="T475" s="230"/>
      <c r="U475" s="229"/>
      <c r="V475" s="229"/>
      <c r="W475" s="229"/>
      <c r="X475" s="223"/>
      <c r="Y475" s="223"/>
      <c r="Z475" s="223"/>
      <c r="AA475" s="223"/>
      <c r="AB475" s="236"/>
      <c r="AC475" s="236"/>
      <c r="AD475" s="236"/>
      <c r="AE475" s="237"/>
      <c r="AF475" s="19"/>
      <c r="AG475" s="19"/>
      <c r="AH475" s="19"/>
      <c r="AI475" s="19"/>
      <c r="AJ475" s="19"/>
      <c r="AK475" s="19"/>
      <c r="AL475" s="19"/>
      <c r="AM475" s="19"/>
    </row>
    <row r="476" spans="2:39">
      <c r="B476" s="19"/>
      <c r="C476" s="19"/>
      <c r="D476" s="19"/>
      <c r="E476" s="19"/>
      <c r="F476" s="19"/>
      <c r="G476" s="19"/>
      <c r="H476" s="19"/>
      <c r="I476" s="244"/>
      <c r="J476" s="245"/>
      <c r="K476" s="229"/>
      <c r="L476" s="229"/>
      <c r="M476" s="229"/>
      <c r="N476" s="230"/>
      <c r="O476" s="230"/>
      <c r="P476" s="230"/>
      <c r="Q476" s="230"/>
      <c r="R476" s="230"/>
      <c r="S476" s="230"/>
      <c r="T476" s="230"/>
      <c r="U476" s="229"/>
      <c r="V476" s="229"/>
      <c r="W476" s="229"/>
      <c r="X476" s="223"/>
      <c r="Y476" s="223"/>
      <c r="Z476" s="223"/>
      <c r="AA476" s="223"/>
      <c r="AB476" s="236"/>
      <c r="AC476" s="236"/>
      <c r="AD476" s="236"/>
      <c r="AE476" s="237"/>
      <c r="AF476" s="19"/>
      <c r="AG476" s="19"/>
      <c r="AH476" s="19"/>
      <c r="AI476" s="19"/>
      <c r="AJ476" s="19"/>
      <c r="AK476" s="19"/>
      <c r="AL476" s="19"/>
      <c r="AM476" s="19"/>
    </row>
    <row r="477" spans="2:39">
      <c r="B477" s="19"/>
      <c r="C477" s="19"/>
      <c r="D477" s="19"/>
      <c r="E477" s="19"/>
      <c r="F477" s="19"/>
      <c r="G477" s="19"/>
      <c r="H477" s="19"/>
      <c r="I477" s="244"/>
      <c r="J477" s="245"/>
      <c r="K477" s="229"/>
      <c r="L477" s="229"/>
      <c r="M477" s="229"/>
      <c r="N477" s="230"/>
      <c r="O477" s="230"/>
      <c r="P477" s="230"/>
      <c r="Q477" s="230"/>
      <c r="R477" s="230"/>
      <c r="S477" s="230"/>
      <c r="T477" s="230"/>
      <c r="U477" s="229"/>
      <c r="V477" s="229"/>
      <c r="W477" s="229"/>
      <c r="X477" s="223"/>
      <c r="Y477" s="223"/>
      <c r="Z477" s="223"/>
      <c r="AA477" s="223"/>
      <c r="AB477" s="236"/>
      <c r="AC477" s="236"/>
      <c r="AD477" s="236"/>
      <c r="AE477" s="237"/>
      <c r="AF477" s="19"/>
      <c r="AG477" s="19"/>
      <c r="AH477" s="19"/>
      <c r="AI477" s="19"/>
      <c r="AJ477" s="19"/>
      <c r="AK477" s="19"/>
      <c r="AL477" s="19"/>
      <c r="AM477" s="19"/>
    </row>
    <row r="478" spans="2:39">
      <c r="B478" s="19"/>
      <c r="C478" s="19"/>
      <c r="D478" s="19"/>
      <c r="E478" s="19"/>
      <c r="F478" s="19"/>
      <c r="G478" s="19"/>
      <c r="H478" s="19"/>
      <c r="I478" s="244"/>
      <c r="J478" s="245"/>
      <c r="K478" s="229"/>
      <c r="L478" s="229"/>
      <c r="M478" s="229"/>
      <c r="N478" s="230"/>
      <c r="O478" s="230"/>
      <c r="P478" s="230"/>
      <c r="Q478" s="230"/>
      <c r="R478" s="230"/>
      <c r="S478" s="230"/>
      <c r="T478" s="230"/>
      <c r="U478" s="229"/>
      <c r="V478" s="229"/>
      <c r="W478" s="229"/>
      <c r="X478" s="223"/>
      <c r="Y478" s="223"/>
      <c r="Z478" s="223"/>
      <c r="AA478" s="223"/>
      <c r="AB478" s="236"/>
      <c r="AC478" s="236"/>
      <c r="AD478" s="236"/>
      <c r="AE478" s="237"/>
      <c r="AF478" s="19"/>
      <c r="AG478" s="19"/>
      <c r="AH478" s="19"/>
      <c r="AI478" s="19"/>
      <c r="AJ478" s="19"/>
      <c r="AK478" s="19"/>
      <c r="AL478" s="19"/>
      <c r="AM478" s="19"/>
    </row>
    <row r="479" spans="2:39">
      <c r="B479" s="19"/>
      <c r="C479" s="19"/>
      <c r="D479" s="19"/>
      <c r="E479" s="19"/>
      <c r="F479" s="19"/>
      <c r="G479" s="19"/>
      <c r="H479" s="19"/>
      <c r="I479" s="244"/>
      <c r="J479" s="245"/>
      <c r="K479" s="229"/>
      <c r="L479" s="229"/>
      <c r="M479" s="229"/>
      <c r="N479" s="230"/>
      <c r="O479" s="230"/>
      <c r="P479" s="230"/>
      <c r="Q479" s="230"/>
      <c r="R479" s="230"/>
      <c r="S479" s="230"/>
      <c r="T479" s="230"/>
      <c r="U479" s="229"/>
      <c r="V479" s="229"/>
      <c r="W479" s="229"/>
      <c r="X479" s="223"/>
      <c r="Y479" s="223"/>
      <c r="Z479" s="223"/>
      <c r="AA479" s="223"/>
      <c r="AB479" s="236"/>
      <c r="AC479" s="236"/>
      <c r="AD479" s="236"/>
      <c r="AE479" s="237"/>
      <c r="AF479" s="19"/>
      <c r="AG479" s="19"/>
      <c r="AH479" s="19"/>
      <c r="AI479" s="19"/>
      <c r="AJ479" s="19"/>
      <c r="AK479" s="19"/>
      <c r="AL479" s="19"/>
      <c r="AM479" s="19"/>
    </row>
    <row r="480" spans="2:39">
      <c r="B480" s="19"/>
      <c r="C480" s="19"/>
      <c r="D480" s="19"/>
      <c r="E480" s="19"/>
      <c r="F480" s="19"/>
      <c r="G480" s="19"/>
      <c r="H480" s="19"/>
      <c r="I480" s="244"/>
      <c r="J480" s="245"/>
      <c r="K480" s="229"/>
      <c r="L480" s="229"/>
      <c r="M480" s="229"/>
      <c r="N480" s="230"/>
      <c r="O480" s="230"/>
      <c r="P480" s="230"/>
      <c r="Q480" s="230"/>
      <c r="R480" s="230"/>
      <c r="S480" s="230"/>
      <c r="T480" s="230"/>
      <c r="U480" s="229"/>
      <c r="V480" s="229"/>
      <c r="W480" s="229"/>
      <c r="X480" s="223"/>
      <c r="Y480" s="223"/>
      <c r="Z480" s="223"/>
      <c r="AA480" s="223"/>
      <c r="AB480" s="236"/>
      <c r="AC480" s="236"/>
      <c r="AD480" s="236"/>
      <c r="AE480" s="237"/>
      <c r="AF480" s="19"/>
      <c r="AG480" s="19"/>
      <c r="AH480" s="19"/>
      <c r="AI480" s="19"/>
      <c r="AJ480" s="19"/>
      <c r="AK480" s="19"/>
      <c r="AL480" s="19"/>
      <c r="AM480" s="19"/>
    </row>
    <row r="481" spans="2:39">
      <c r="B481" s="19"/>
      <c r="C481" s="19"/>
      <c r="D481" s="19"/>
      <c r="E481" s="19"/>
      <c r="F481" s="19"/>
      <c r="G481" s="19"/>
      <c r="H481" s="19"/>
      <c r="I481" s="244"/>
      <c r="J481" s="245"/>
      <c r="K481" s="229"/>
      <c r="L481" s="229"/>
      <c r="M481" s="229"/>
      <c r="N481" s="230"/>
      <c r="O481" s="230"/>
      <c r="P481" s="230"/>
      <c r="Q481" s="230"/>
      <c r="R481" s="230"/>
      <c r="S481" s="230"/>
      <c r="T481" s="230"/>
      <c r="U481" s="229"/>
      <c r="V481" s="229"/>
      <c r="W481" s="229"/>
      <c r="X481" s="223"/>
      <c r="Y481" s="223"/>
      <c r="Z481" s="223"/>
      <c r="AA481" s="223"/>
      <c r="AB481" s="236"/>
      <c r="AC481" s="236"/>
      <c r="AD481" s="236"/>
      <c r="AE481" s="237"/>
      <c r="AF481" s="19"/>
      <c r="AG481" s="19"/>
      <c r="AH481" s="19"/>
      <c r="AI481" s="19"/>
      <c r="AJ481" s="19"/>
      <c r="AK481" s="19"/>
      <c r="AL481" s="19"/>
      <c r="AM481" s="19"/>
    </row>
    <row r="482" spans="2:39">
      <c r="B482" s="19"/>
      <c r="C482" s="19"/>
      <c r="D482" s="19"/>
      <c r="E482" s="19"/>
      <c r="F482" s="19"/>
      <c r="G482" s="19"/>
      <c r="H482" s="19"/>
      <c r="I482" s="244"/>
      <c r="J482" s="245"/>
      <c r="K482" s="229"/>
      <c r="L482" s="229"/>
      <c r="M482" s="229"/>
      <c r="N482" s="230"/>
      <c r="O482" s="230"/>
      <c r="P482" s="230"/>
      <c r="Q482" s="230"/>
      <c r="R482" s="230"/>
      <c r="S482" s="230"/>
      <c r="T482" s="230"/>
      <c r="U482" s="229"/>
      <c r="V482" s="229"/>
      <c r="W482" s="229"/>
      <c r="X482" s="223"/>
      <c r="Y482" s="223"/>
      <c r="Z482" s="223"/>
      <c r="AA482" s="223"/>
      <c r="AB482" s="236"/>
      <c r="AC482" s="236"/>
      <c r="AD482" s="236"/>
      <c r="AE482" s="237"/>
      <c r="AF482" s="19"/>
      <c r="AG482" s="19"/>
      <c r="AH482" s="19"/>
      <c r="AI482" s="19"/>
      <c r="AJ482" s="19"/>
      <c r="AK482" s="19"/>
      <c r="AL482" s="19"/>
      <c r="AM482" s="19"/>
    </row>
    <row r="483" spans="2:39">
      <c r="B483" s="19"/>
      <c r="C483" s="19"/>
      <c r="D483" s="19"/>
      <c r="E483" s="19"/>
      <c r="F483" s="19"/>
      <c r="G483" s="19"/>
      <c r="H483" s="19"/>
      <c r="I483" s="244"/>
      <c r="J483" s="245"/>
      <c r="K483" s="229"/>
      <c r="L483" s="229"/>
      <c r="M483" s="229"/>
      <c r="N483" s="230"/>
      <c r="O483" s="230"/>
      <c r="P483" s="230"/>
      <c r="Q483" s="230"/>
      <c r="R483" s="230"/>
      <c r="S483" s="230"/>
      <c r="T483" s="230"/>
      <c r="U483" s="229"/>
      <c r="V483" s="229"/>
      <c r="W483" s="229"/>
      <c r="X483" s="223"/>
      <c r="Y483" s="223"/>
      <c r="Z483" s="223"/>
      <c r="AA483" s="223"/>
      <c r="AB483" s="236"/>
      <c r="AC483" s="236"/>
      <c r="AD483" s="236"/>
      <c r="AE483" s="237"/>
      <c r="AF483" s="19"/>
      <c r="AG483" s="19"/>
      <c r="AH483" s="19"/>
      <c r="AI483" s="19"/>
      <c r="AJ483" s="19"/>
      <c r="AK483" s="19"/>
      <c r="AL483" s="19"/>
      <c r="AM483" s="19"/>
    </row>
    <row r="484" spans="2:39">
      <c r="B484" s="19"/>
      <c r="C484" s="19"/>
      <c r="D484" s="19"/>
      <c r="E484" s="19"/>
      <c r="F484" s="19"/>
      <c r="G484" s="19"/>
      <c r="H484" s="19"/>
      <c r="I484" s="244"/>
      <c r="J484" s="245"/>
      <c r="K484" s="229"/>
      <c r="L484" s="229"/>
      <c r="M484" s="229"/>
      <c r="N484" s="230"/>
      <c r="O484" s="230"/>
      <c r="P484" s="230"/>
      <c r="Q484" s="230"/>
      <c r="R484" s="230"/>
      <c r="S484" s="230"/>
      <c r="T484" s="230"/>
      <c r="U484" s="229"/>
      <c r="V484" s="229"/>
      <c r="W484" s="229"/>
      <c r="X484" s="223"/>
      <c r="Y484" s="223"/>
      <c r="Z484" s="223"/>
      <c r="AA484" s="223"/>
      <c r="AB484" s="236"/>
      <c r="AC484" s="236"/>
      <c r="AD484" s="236"/>
      <c r="AE484" s="237"/>
      <c r="AF484" s="19"/>
      <c r="AG484" s="19"/>
      <c r="AH484" s="19"/>
      <c r="AI484" s="19"/>
      <c r="AJ484" s="19"/>
      <c r="AK484" s="19"/>
      <c r="AL484" s="19"/>
      <c r="AM484" s="19"/>
    </row>
    <row r="485" spans="2:39">
      <c r="B485" s="19"/>
      <c r="C485" s="19"/>
      <c r="D485" s="19"/>
      <c r="E485" s="19"/>
      <c r="F485" s="19"/>
      <c r="G485" s="19"/>
      <c r="H485" s="19"/>
      <c r="I485" s="244"/>
      <c r="J485" s="245"/>
      <c r="K485" s="229">
        <v>18</v>
      </c>
      <c r="L485" s="229" t="s">
        <v>642</v>
      </c>
      <c r="M485" s="229"/>
      <c r="N485" s="230" t="s">
        <v>651</v>
      </c>
      <c r="O485" s="230"/>
      <c r="P485" s="230"/>
      <c r="Q485" s="230"/>
      <c r="R485" s="230"/>
      <c r="S485" s="230"/>
      <c r="T485" s="230"/>
      <c r="U485" s="229"/>
      <c r="V485" s="229"/>
      <c r="W485" s="229">
        <v>1</v>
      </c>
      <c r="X485" s="223" t="s">
        <v>712</v>
      </c>
      <c r="Y485" s="223"/>
      <c r="Z485" s="223"/>
      <c r="AA485" s="223"/>
      <c r="AB485" s="225" t="s">
        <v>649</v>
      </c>
      <c r="AC485" s="225"/>
      <c r="AD485" s="225"/>
      <c r="AE485" s="226"/>
      <c r="AF485" s="19"/>
      <c r="AG485" s="19"/>
      <c r="AH485" s="19"/>
      <c r="AI485" s="19"/>
      <c r="AJ485" s="19"/>
      <c r="AK485" s="19"/>
      <c r="AL485" s="19"/>
      <c r="AM485" s="19"/>
    </row>
    <row r="486" spans="2:39">
      <c r="B486" s="19"/>
      <c r="C486" s="19"/>
      <c r="D486" s="19"/>
      <c r="E486" s="19"/>
      <c r="F486" s="19"/>
      <c r="G486" s="19"/>
      <c r="H486" s="19"/>
      <c r="I486" s="244"/>
      <c r="J486" s="245"/>
      <c r="K486" s="229"/>
      <c r="L486" s="229"/>
      <c r="M486" s="229"/>
      <c r="N486" s="230"/>
      <c r="O486" s="230"/>
      <c r="P486" s="230"/>
      <c r="Q486" s="230"/>
      <c r="R486" s="230"/>
      <c r="S486" s="230"/>
      <c r="T486" s="230"/>
      <c r="U486" s="229"/>
      <c r="V486" s="229"/>
      <c r="W486" s="229"/>
      <c r="X486" s="223"/>
      <c r="Y486" s="223"/>
      <c r="Z486" s="223"/>
      <c r="AA486" s="223"/>
      <c r="AB486" s="225"/>
      <c r="AC486" s="225"/>
      <c r="AD486" s="225"/>
      <c r="AE486" s="226"/>
      <c r="AF486" s="19"/>
      <c r="AG486" s="19"/>
      <c r="AH486" s="19"/>
      <c r="AI486" s="19"/>
      <c r="AJ486" s="19"/>
      <c r="AK486" s="19"/>
      <c r="AL486" s="19"/>
      <c r="AM486" s="19"/>
    </row>
    <row r="487" spans="2:39">
      <c r="B487" s="19"/>
      <c r="C487" s="19"/>
      <c r="D487" s="19"/>
      <c r="E487" s="19"/>
      <c r="F487" s="19"/>
      <c r="G487" s="19"/>
      <c r="H487" s="19"/>
      <c r="I487" s="244"/>
      <c r="J487" s="245"/>
      <c r="K487" s="229"/>
      <c r="L487" s="229"/>
      <c r="M487" s="229"/>
      <c r="N487" s="230"/>
      <c r="O487" s="230"/>
      <c r="P487" s="230"/>
      <c r="Q487" s="230"/>
      <c r="R487" s="230"/>
      <c r="S487" s="230"/>
      <c r="T487" s="230"/>
      <c r="U487" s="229"/>
      <c r="V487" s="229"/>
      <c r="W487" s="229"/>
      <c r="X487" s="223"/>
      <c r="Y487" s="223"/>
      <c r="Z487" s="223"/>
      <c r="AA487" s="223"/>
      <c r="AB487" s="225"/>
      <c r="AC487" s="225"/>
      <c r="AD487" s="225"/>
      <c r="AE487" s="226"/>
      <c r="AF487" s="19"/>
      <c r="AG487" s="19"/>
      <c r="AH487" s="19"/>
      <c r="AI487" s="19"/>
      <c r="AJ487" s="19"/>
      <c r="AK487" s="19"/>
      <c r="AL487" s="19"/>
      <c r="AM487" s="19"/>
    </row>
    <row r="488" spans="2:39">
      <c r="B488" s="19"/>
      <c r="C488" s="19"/>
      <c r="D488" s="19"/>
      <c r="E488" s="19"/>
      <c r="F488" s="19"/>
      <c r="G488" s="19"/>
      <c r="H488" s="19"/>
      <c r="I488" s="244"/>
      <c r="J488" s="245"/>
      <c r="K488" s="229"/>
      <c r="L488" s="229"/>
      <c r="M488" s="229"/>
      <c r="N488" s="230"/>
      <c r="O488" s="230"/>
      <c r="P488" s="230"/>
      <c r="Q488" s="230"/>
      <c r="R488" s="230"/>
      <c r="S488" s="230"/>
      <c r="T488" s="230"/>
      <c r="U488" s="229"/>
      <c r="V488" s="229"/>
      <c r="W488" s="229"/>
      <c r="X488" s="223"/>
      <c r="Y488" s="223"/>
      <c r="Z488" s="223"/>
      <c r="AA488" s="223"/>
      <c r="AB488" s="225"/>
      <c r="AC488" s="225"/>
      <c r="AD488" s="225"/>
      <c r="AE488" s="226"/>
      <c r="AF488" s="19"/>
      <c r="AG488" s="19"/>
      <c r="AH488" s="19"/>
      <c r="AI488" s="19"/>
      <c r="AJ488" s="19"/>
      <c r="AK488" s="19"/>
      <c r="AL488" s="19"/>
      <c r="AM488" s="19"/>
    </row>
    <row r="489" spans="2:39">
      <c r="B489" s="19"/>
      <c r="C489" s="19"/>
      <c r="D489" s="19"/>
      <c r="E489" s="19"/>
      <c r="F489" s="19"/>
      <c r="G489" s="19"/>
      <c r="H489" s="19"/>
      <c r="I489" s="244"/>
      <c r="J489" s="245"/>
      <c r="K489" s="229">
        <v>19</v>
      </c>
      <c r="L489" s="229" t="s">
        <v>619</v>
      </c>
      <c r="M489" s="229"/>
      <c r="N489" s="230" t="s">
        <v>652</v>
      </c>
      <c r="O489" s="229"/>
      <c r="P489" s="229"/>
      <c r="Q489" s="229"/>
      <c r="R489" s="229"/>
      <c r="S489" s="229"/>
      <c r="T489" s="229"/>
      <c r="U489" s="229"/>
      <c r="V489" s="229"/>
      <c r="W489" s="229">
        <v>1</v>
      </c>
      <c r="X489" s="223" t="s">
        <v>712</v>
      </c>
      <c r="Y489" s="223"/>
      <c r="Z489" s="223"/>
      <c r="AA489" s="223"/>
      <c r="AB489" s="225" t="s">
        <v>650</v>
      </c>
      <c r="AC489" s="225"/>
      <c r="AD489" s="225"/>
      <c r="AE489" s="226"/>
      <c r="AF489" s="19"/>
      <c r="AG489" s="19"/>
      <c r="AH489" s="19"/>
      <c r="AI489" s="19"/>
      <c r="AJ489" s="19"/>
      <c r="AK489" s="19"/>
      <c r="AL489" s="19"/>
      <c r="AM489" s="19"/>
    </row>
    <row r="490" spans="2:39">
      <c r="B490" s="19"/>
      <c r="C490" s="19"/>
      <c r="D490" s="19"/>
      <c r="E490" s="19"/>
      <c r="F490" s="19"/>
      <c r="G490" s="19"/>
      <c r="H490" s="19"/>
      <c r="I490" s="244"/>
      <c r="J490" s="245"/>
      <c r="K490" s="229"/>
      <c r="L490" s="229"/>
      <c r="M490" s="229"/>
      <c r="N490" s="229"/>
      <c r="O490" s="229"/>
      <c r="P490" s="229"/>
      <c r="Q490" s="229"/>
      <c r="R490" s="229"/>
      <c r="S490" s="229"/>
      <c r="T490" s="229"/>
      <c r="U490" s="229"/>
      <c r="V490" s="229"/>
      <c r="W490" s="229"/>
      <c r="X490" s="223"/>
      <c r="Y490" s="223"/>
      <c r="Z490" s="223"/>
      <c r="AA490" s="223"/>
      <c r="AB490" s="225"/>
      <c r="AC490" s="225"/>
      <c r="AD490" s="225"/>
      <c r="AE490" s="226"/>
      <c r="AF490" s="19"/>
      <c r="AG490" s="19"/>
      <c r="AH490" s="19"/>
      <c r="AI490" s="19"/>
      <c r="AJ490" s="19"/>
      <c r="AK490" s="19"/>
      <c r="AL490" s="19"/>
      <c r="AM490" s="19"/>
    </row>
    <row r="491" spans="2:39" ht="17.25" thickBot="1">
      <c r="B491" s="19"/>
      <c r="C491" s="19"/>
      <c r="D491" s="19"/>
      <c r="E491" s="19"/>
      <c r="F491" s="19"/>
      <c r="G491" s="19"/>
      <c r="H491" s="19"/>
      <c r="I491" s="246"/>
      <c r="J491" s="247"/>
      <c r="K491" s="235"/>
      <c r="L491" s="235"/>
      <c r="M491" s="235"/>
      <c r="N491" s="235"/>
      <c r="O491" s="235"/>
      <c r="P491" s="235"/>
      <c r="Q491" s="235"/>
      <c r="R491" s="235"/>
      <c r="S491" s="235"/>
      <c r="T491" s="235"/>
      <c r="U491" s="235"/>
      <c r="V491" s="235"/>
      <c r="W491" s="235"/>
      <c r="X491" s="224"/>
      <c r="Y491" s="224"/>
      <c r="Z491" s="224"/>
      <c r="AA491" s="224"/>
      <c r="AB491" s="227"/>
      <c r="AC491" s="227"/>
      <c r="AD491" s="227"/>
      <c r="AE491" s="228"/>
      <c r="AF491" s="19"/>
      <c r="AG491" s="19"/>
      <c r="AH491" s="19"/>
      <c r="AI491" s="19"/>
      <c r="AJ491" s="19"/>
      <c r="AK491" s="19"/>
      <c r="AL491" s="19"/>
      <c r="AM491" s="19"/>
    </row>
    <row r="492" spans="2:3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row>
    <row r="493" spans="2:39" ht="17.25" thickBot="1">
      <c r="B493" s="145" t="s">
        <v>660</v>
      </c>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row>
    <row r="494" spans="2:39" ht="22.5">
      <c r="B494" s="19"/>
      <c r="C494" s="19"/>
      <c r="D494" s="19"/>
      <c r="E494" s="19"/>
      <c r="F494" s="19"/>
      <c r="G494" s="19"/>
      <c r="H494" s="19"/>
      <c r="I494" s="203" t="s">
        <v>661</v>
      </c>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148"/>
      <c r="AG494" s="161"/>
      <c r="AH494" s="19"/>
      <c r="AI494" s="19"/>
      <c r="AJ494" s="19"/>
      <c r="AK494" s="19"/>
      <c r="AL494" s="19"/>
      <c r="AM494" s="19"/>
    </row>
    <row r="495" spans="2:39">
      <c r="B495" s="19"/>
      <c r="C495" s="19"/>
      <c r="D495" s="19"/>
      <c r="E495" s="19"/>
      <c r="F495" s="19"/>
      <c r="G495" s="19"/>
      <c r="H495" s="19"/>
      <c r="I495" s="146"/>
      <c r="AG495" s="162"/>
      <c r="AH495" s="19"/>
      <c r="AI495" s="19"/>
      <c r="AJ495" s="19"/>
      <c r="AK495" s="19"/>
      <c r="AL495" s="19"/>
      <c r="AM495" s="19"/>
    </row>
    <row r="496" spans="2:39">
      <c r="B496" s="19"/>
      <c r="C496" s="19"/>
      <c r="D496" s="19"/>
      <c r="E496" s="19"/>
      <c r="F496" s="19"/>
      <c r="G496" s="19"/>
      <c r="H496" s="19"/>
      <c r="I496" s="158" t="s">
        <v>664</v>
      </c>
      <c r="J496" s="205" t="s">
        <v>665</v>
      </c>
      <c r="K496" s="205"/>
      <c r="L496" s="205"/>
      <c r="M496" s="205"/>
      <c r="N496" s="205"/>
      <c r="O496" s="205"/>
      <c r="P496" s="205"/>
      <c r="Q496" s="205"/>
      <c r="R496" s="205"/>
      <c r="S496" s="205"/>
      <c r="T496" s="205"/>
      <c r="U496" s="205"/>
      <c r="V496" s="205"/>
      <c r="W496" s="205"/>
      <c r="X496" s="205"/>
      <c r="Y496" s="205"/>
      <c r="Z496" s="205"/>
      <c r="AA496" s="205"/>
      <c r="AB496" s="205"/>
      <c r="AC496" s="205"/>
      <c r="AD496" s="205"/>
      <c r="AE496" s="205"/>
      <c r="AF496" s="205"/>
      <c r="AG496" s="162"/>
      <c r="AH496" s="19"/>
      <c r="AI496" s="19"/>
      <c r="AJ496" s="19"/>
      <c r="AK496" s="19"/>
      <c r="AL496" s="19"/>
      <c r="AM496" s="19"/>
    </row>
    <row r="497" spans="2:39" ht="16.5" customHeight="1">
      <c r="B497" s="19"/>
      <c r="C497" s="19"/>
      <c r="D497" s="19"/>
      <c r="E497" s="19"/>
      <c r="F497" s="19"/>
      <c r="G497" s="19"/>
      <c r="H497" s="19"/>
      <c r="I497" s="159"/>
      <c r="J497" s="205"/>
      <c r="K497" s="205"/>
      <c r="L497" s="205"/>
      <c r="M497" s="205"/>
      <c r="N497" s="205"/>
      <c r="O497" s="205"/>
      <c r="P497" s="205"/>
      <c r="Q497" s="205"/>
      <c r="R497" s="205"/>
      <c r="S497" s="205"/>
      <c r="T497" s="205"/>
      <c r="U497" s="205"/>
      <c r="V497" s="205"/>
      <c r="W497" s="205"/>
      <c r="X497" s="205"/>
      <c r="Y497" s="205"/>
      <c r="Z497" s="205"/>
      <c r="AA497" s="205"/>
      <c r="AB497" s="205"/>
      <c r="AC497" s="205"/>
      <c r="AD497" s="205"/>
      <c r="AE497" s="205"/>
      <c r="AF497" s="205"/>
      <c r="AG497" s="162"/>
      <c r="AH497" s="19"/>
      <c r="AI497" s="19"/>
      <c r="AJ497" s="19"/>
      <c r="AK497" s="19"/>
      <c r="AL497" s="19"/>
      <c r="AM497" s="19"/>
    </row>
    <row r="498" spans="2:39">
      <c r="B498" s="19"/>
      <c r="C498" s="19"/>
      <c r="D498" s="19"/>
      <c r="E498" s="19"/>
      <c r="F498" s="19"/>
      <c r="G498" s="19"/>
      <c r="H498" s="19"/>
      <c r="I498" s="159"/>
      <c r="J498" s="205"/>
      <c r="K498" s="205"/>
      <c r="L498" s="205"/>
      <c r="M498" s="205"/>
      <c r="N498" s="205"/>
      <c r="O498" s="205"/>
      <c r="P498" s="205"/>
      <c r="Q498" s="205"/>
      <c r="R498" s="205"/>
      <c r="S498" s="205"/>
      <c r="T498" s="205"/>
      <c r="U498" s="205"/>
      <c r="V498" s="205"/>
      <c r="W498" s="205"/>
      <c r="X498" s="205"/>
      <c r="Y498" s="205"/>
      <c r="Z498" s="205"/>
      <c r="AA498" s="205"/>
      <c r="AB498" s="205"/>
      <c r="AC498" s="205"/>
      <c r="AD498" s="205"/>
      <c r="AE498" s="205"/>
      <c r="AF498" s="205"/>
      <c r="AG498" s="162"/>
      <c r="AH498" s="19"/>
      <c r="AI498" s="19"/>
      <c r="AJ498" s="19"/>
      <c r="AK498" s="19"/>
      <c r="AL498" s="19"/>
      <c r="AM498" s="19"/>
    </row>
    <row r="499" spans="2:39" ht="17.25" thickBot="1">
      <c r="B499" s="19"/>
      <c r="C499" s="19"/>
      <c r="D499" s="19"/>
      <c r="E499" s="19"/>
      <c r="F499" s="19"/>
      <c r="G499" s="19"/>
      <c r="H499" s="19"/>
      <c r="I499" s="160"/>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62"/>
      <c r="AH499" s="19"/>
      <c r="AI499" s="19"/>
      <c r="AJ499" s="19"/>
      <c r="AK499" s="19"/>
      <c r="AL499" s="19"/>
      <c r="AM499" s="19"/>
    </row>
    <row r="500" spans="2:39">
      <c r="B500" s="19"/>
      <c r="C500" s="19"/>
      <c r="D500" s="19"/>
      <c r="E500" s="19"/>
      <c r="F500" s="19"/>
      <c r="G500" s="19"/>
      <c r="H500" s="19"/>
      <c r="I500" s="159"/>
      <c r="J500" s="206" t="s">
        <v>674</v>
      </c>
      <c r="K500" s="207"/>
      <c r="L500" s="207"/>
      <c r="M500" s="207"/>
      <c r="N500" s="207"/>
      <c r="O500" s="207"/>
      <c r="P500" s="207"/>
      <c r="Q500" s="207"/>
      <c r="R500" s="207"/>
      <c r="S500" s="207"/>
      <c r="T500" s="207"/>
      <c r="U500" s="207"/>
      <c r="V500" s="207"/>
      <c r="W500" s="207"/>
      <c r="X500" s="207"/>
      <c r="Y500" s="207"/>
      <c r="Z500" s="207"/>
      <c r="AA500" s="207"/>
      <c r="AB500" s="207"/>
      <c r="AC500" s="207"/>
      <c r="AD500" s="207"/>
      <c r="AE500" s="207"/>
      <c r="AF500" s="208"/>
      <c r="AG500" s="162"/>
      <c r="AH500" s="19"/>
      <c r="AI500" s="19"/>
      <c r="AJ500" s="19"/>
      <c r="AK500" s="19"/>
      <c r="AL500" s="19"/>
      <c r="AM500" s="19"/>
    </row>
    <row r="501" spans="2:39">
      <c r="B501" s="19"/>
      <c r="C501" s="19"/>
      <c r="D501" s="19"/>
      <c r="E501" s="19"/>
      <c r="F501" s="19"/>
      <c r="G501" s="19"/>
      <c r="H501" s="19"/>
      <c r="I501" s="159"/>
      <c r="J501" s="209"/>
      <c r="K501" s="210"/>
      <c r="L501" s="210"/>
      <c r="M501" s="210"/>
      <c r="N501" s="210"/>
      <c r="O501" s="210"/>
      <c r="P501" s="210"/>
      <c r="Q501" s="210"/>
      <c r="R501" s="210"/>
      <c r="S501" s="210"/>
      <c r="T501" s="210"/>
      <c r="U501" s="210"/>
      <c r="V501" s="210"/>
      <c r="W501" s="210"/>
      <c r="X501" s="210"/>
      <c r="Y501" s="210"/>
      <c r="Z501" s="210"/>
      <c r="AA501" s="210"/>
      <c r="AB501" s="210"/>
      <c r="AC501" s="210"/>
      <c r="AD501" s="210"/>
      <c r="AE501" s="210"/>
      <c r="AF501" s="211"/>
      <c r="AG501" s="162"/>
      <c r="AH501" s="19"/>
      <c r="AI501" s="19"/>
      <c r="AJ501" s="19"/>
      <c r="AK501" s="19"/>
      <c r="AL501" s="19"/>
      <c r="AM501" s="19"/>
    </row>
    <row r="502" spans="2:39">
      <c r="B502" s="19"/>
      <c r="C502" s="19"/>
      <c r="D502" s="19"/>
      <c r="E502" s="19"/>
      <c r="F502" s="19"/>
      <c r="G502" s="19"/>
      <c r="H502" s="19"/>
      <c r="I502" s="159"/>
      <c r="J502" s="209"/>
      <c r="K502" s="210"/>
      <c r="L502" s="210"/>
      <c r="M502" s="210"/>
      <c r="N502" s="210"/>
      <c r="O502" s="210"/>
      <c r="P502" s="210"/>
      <c r="Q502" s="210"/>
      <c r="R502" s="210"/>
      <c r="S502" s="210"/>
      <c r="T502" s="210"/>
      <c r="U502" s="210"/>
      <c r="V502" s="210"/>
      <c r="W502" s="210"/>
      <c r="X502" s="210"/>
      <c r="Y502" s="210"/>
      <c r="Z502" s="210"/>
      <c r="AA502" s="210"/>
      <c r="AB502" s="210"/>
      <c r="AC502" s="210"/>
      <c r="AD502" s="210"/>
      <c r="AE502" s="210"/>
      <c r="AF502" s="211"/>
      <c r="AG502" s="162"/>
      <c r="AH502" s="19"/>
      <c r="AI502" s="19"/>
      <c r="AJ502" s="19"/>
      <c r="AK502" s="19"/>
      <c r="AL502" s="19"/>
      <c r="AM502" s="19"/>
    </row>
    <row r="503" spans="2:39">
      <c r="B503" s="19"/>
      <c r="C503" s="19"/>
      <c r="D503" s="19"/>
      <c r="E503" s="19"/>
      <c r="F503" s="19"/>
      <c r="G503" s="19"/>
      <c r="H503" s="19"/>
      <c r="I503" s="159"/>
      <c r="J503" s="209"/>
      <c r="K503" s="210"/>
      <c r="L503" s="210"/>
      <c r="M503" s="210"/>
      <c r="N503" s="210"/>
      <c r="O503" s="210"/>
      <c r="P503" s="210"/>
      <c r="Q503" s="210"/>
      <c r="R503" s="210"/>
      <c r="S503" s="210"/>
      <c r="T503" s="210"/>
      <c r="U503" s="210"/>
      <c r="V503" s="210"/>
      <c r="W503" s="210"/>
      <c r="X503" s="210"/>
      <c r="Y503" s="210"/>
      <c r="Z503" s="210"/>
      <c r="AA503" s="210"/>
      <c r="AB503" s="210"/>
      <c r="AC503" s="210"/>
      <c r="AD503" s="210"/>
      <c r="AE503" s="210"/>
      <c r="AF503" s="211"/>
      <c r="AG503" s="162"/>
      <c r="AH503" s="19"/>
      <c r="AI503" s="19"/>
      <c r="AJ503" s="19"/>
      <c r="AK503" s="19"/>
      <c r="AL503" s="19"/>
      <c r="AM503" s="19"/>
    </row>
    <row r="504" spans="2:39">
      <c r="B504" s="19"/>
      <c r="C504" s="19"/>
      <c r="D504" s="19"/>
      <c r="E504" s="19"/>
      <c r="F504" s="19"/>
      <c r="G504" s="19"/>
      <c r="H504" s="19"/>
      <c r="I504" s="159"/>
      <c r="J504" s="209"/>
      <c r="K504" s="210"/>
      <c r="L504" s="210"/>
      <c r="M504" s="210"/>
      <c r="N504" s="210"/>
      <c r="O504" s="210"/>
      <c r="P504" s="210"/>
      <c r="Q504" s="210"/>
      <c r="R504" s="210"/>
      <c r="S504" s="210"/>
      <c r="T504" s="210"/>
      <c r="U504" s="210"/>
      <c r="V504" s="210"/>
      <c r="W504" s="210"/>
      <c r="X504" s="210"/>
      <c r="Y504" s="210"/>
      <c r="Z504" s="210"/>
      <c r="AA504" s="210"/>
      <c r="AB504" s="210"/>
      <c r="AC504" s="210"/>
      <c r="AD504" s="210"/>
      <c r="AE504" s="210"/>
      <c r="AF504" s="211"/>
      <c r="AG504" s="162"/>
      <c r="AH504" s="19"/>
      <c r="AI504" s="19"/>
      <c r="AJ504" s="19"/>
      <c r="AK504" s="19"/>
      <c r="AL504" s="19"/>
      <c r="AM504" s="19"/>
    </row>
    <row r="505" spans="2:39" ht="16.5" customHeight="1">
      <c r="B505" s="19"/>
      <c r="C505" s="19"/>
      <c r="D505" s="19"/>
      <c r="E505" s="19"/>
      <c r="F505" s="19"/>
      <c r="G505" s="19"/>
      <c r="H505" s="19"/>
      <c r="I505" s="159"/>
      <c r="J505" s="209"/>
      <c r="K505" s="210"/>
      <c r="L505" s="210"/>
      <c r="M505" s="210"/>
      <c r="N505" s="210"/>
      <c r="O505" s="210"/>
      <c r="P505" s="210"/>
      <c r="Q505" s="210"/>
      <c r="R505" s="210"/>
      <c r="S505" s="210"/>
      <c r="T505" s="210"/>
      <c r="U505" s="210"/>
      <c r="V505" s="210"/>
      <c r="W505" s="210"/>
      <c r="X505" s="210"/>
      <c r="Y505" s="210"/>
      <c r="Z505" s="210"/>
      <c r="AA505" s="210"/>
      <c r="AB505" s="210"/>
      <c r="AC505" s="210"/>
      <c r="AD505" s="210"/>
      <c r="AE505" s="210"/>
      <c r="AF505" s="211"/>
      <c r="AG505" s="162"/>
      <c r="AH505" s="19"/>
      <c r="AI505" s="19"/>
      <c r="AJ505" s="19"/>
      <c r="AK505" s="19"/>
      <c r="AL505" s="19"/>
      <c r="AM505" s="19"/>
    </row>
    <row r="506" spans="2:39">
      <c r="B506" s="19"/>
      <c r="C506" s="19"/>
      <c r="D506" s="19"/>
      <c r="E506" s="19"/>
      <c r="F506" s="19"/>
      <c r="G506" s="19"/>
      <c r="H506" s="19"/>
      <c r="I506" s="159"/>
      <c r="J506" s="209"/>
      <c r="K506" s="210"/>
      <c r="L506" s="210"/>
      <c r="M506" s="210"/>
      <c r="N506" s="210"/>
      <c r="O506" s="210"/>
      <c r="P506" s="210"/>
      <c r="Q506" s="210"/>
      <c r="R506" s="210"/>
      <c r="S506" s="210"/>
      <c r="T506" s="210"/>
      <c r="U506" s="210"/>
      <c r="V506" s="210"/>
      <c r="W506" s="210"/>
      <c r="X506" s="210"/>
      <c r="Y506" s="210"/>
      <c r="Z506" s="210"/>
      <c r="AA506" s="210"/>
      <c r="AB506" s="210"/>
      <c r="AC506" s="210"/>
      <c r="AD506" s="210"/>
      <c r="AE506" s="210"/>
      <c r="AF506" s="211"/>
      <c r="AG506" s="162"/>
      <c r="AH506" s="19"/>
      <c r="AI506" s="19"/>
      <c r="AJ506" s="19"/>
      <c r="AK506" s="19"/>
      <c r="AL506" s="19"/>
      <c r="AM506" s="19"/>
    </row>
    <row r="507" spans="2:39">
      <c r="B507" s="19"/>
      <c r="C507" s="19"/>
      <c r="D507" s="19"/>
      <c r="E507" s="19"/>
      <c r="F507" s="19"/>
      <c r="G507" s="19"/>
      <c r="H507" s="19"/>
      <c r="I507" s="159"/>
      <c r="J507" s="209"/>
      <c r="K507" s="210"/>
      <c r="L507" s="210"/>
      <c r="M507" s="210"/>
      <c r="N507" s="210"/>
      <c r="O507" s="210"/>
      <c r="P507" s="210"/>
      <c r="Q507" s="210"/>
      <c r="R507" s="210"/>
      <c r="S507" s="210"/>
      <c r="T507" s="210"/>
      <c r="U507" s="210"/>
      <c r="V507" s="210"/>
      <c r="W507" s="210"/>
      <c r="X507" s="210"/>
      <c r="Y507" s="210"/>
      <c r="Z507" s="210"/>
      <c r="AA507" s="210"/>
      <c r="AB507" s="210"/>
      <c r="AC507" s="210"/>
      <c r="AD507" s="210"/>
      <c r="AE507" s="210"/>
      <c r="AF507" s="211"/>
      <c r="AG507" s="162"/>
      <c r="AH507" s="19"/>
      <c r="AI507" s="19"/>
      <c r="AJ507" s="19"/>
      <c r="AK507" s="19"/>
      <c r="AL507" s="19"/>
      <c r="AM507" s="19"/>
    </row>
    <row r="508" spans="2:39">
      <c r="B508" s="19"/>
      <c r="C508" s="19"/>
      <c r="D508" s="19"/>
      <c r="E508" s="19"/>
      <c r="F508" s="19"/>
      <c r="G508" s="19"/>
      <c r="H508" s="19"/>
      <c r="I508" s="159"/>
      <c r="J508" s="209"/>
      <c r="K508" s="210"/>
      <c r="L508" s="210"/>
      <c r="M508" s="210"/>
      <c r="N508" s="210"/>
      <c r="O508" s="210"/>
      <c r="P508" s="210"/>
      <c r="Q508" s="210"/>
      <c r="R508" s="210"/>
      <c r="S508" s="210"/>
      <c r="T508" s="210"/>
      <c r="U508" s="210"/>
      <c r="V508" s="210"/>
      <c r="W508" s="210"/>
      <c r="X508" s="210"/>
      <c r="Y508" s="210"/>
      <c r="Z508" s="210"/>
      <c r="AA508" s="210"/>
      <c r="AB508" s="210"/>
      <c r="AC508" s="210"/>
      <c r="AD508" s="210"/>
      <c r="AE508" s="210"/>
      <c r="AF508" s="211"/>
      <c r="AG508" s="162"/>
      <c r="AH508" s="19"/>
      <c r="AI508" s="19"/>
      <c r="AJ508" s="19"/>
      <c r="AK508" s="19"/>
      <c r="AL508" s="19"/>
      <c r="AM508" s="19"/>
    </row>
    <row r="509" spans="2:39">
      <c r="B509" s="19"/>
      <c r="C509" s="19"/>
      <c r="D509" s="19"/>
      <c r="E509" s="19"/>
      <c r="F509" s="19"/>
      <c r="G509" s="19"/>
      <c r="H509" s="19"/>
      <c r="I509" s="159"/>
      <c r="J509" s="209"/>
      <c r="K509" s="210"/>
      <c r="L509" s="210"/>
      <c r="M509" s="210"/>
      <c r="N509" s="210"/>
      <c r="O509" s="210"/>
      <c r="P509" s="210"/>
      <c r="Q509" s="210"/>
      <c r="R509" s="210"/>
      <c r="S509" s="210"/>
      <c r="T509" s="210"/>
      <c r="U509" s="210"/>
      <c r="V509" s="210"/>
      <c r="W509" s="210"/>
      <c r="X509" s="210"/>
      <c r="Y509" s="210"/>
      <c r="Z509" s="210"/>
      <c r="AA509" s="210"/>
      <c r="AB509" s="210"/>
      <c r="AC509" s="210"/>
      <c r="AD509" s="210"/>
      <c r="AE509" s="210"/>
      <c r="AF509" s="211"/>
      <c r="AG509" s="162"/>
      <c r="AH509" s="19"/>
      <c r="AI509" s="19"/>
      <c r="AJ509" s="19"/>
      <c r="AK509" s="19"/>
      <c r="AL509" s="19"/>
      <c r="AM509" s="19"/>
    </row>
    <row r="510" spans="2:39">
      <c r="B510" s="19"/>
      <c r="C510" s="19"/>
      <c r="D510" s="19"/>
      <c r="E510" s="19"/>
      <c r="F510" s="19"/>
      <c r="G510" s="19"/>
      <c r="H510" s="19"/>
      <c r="I510" s="159"/>
      <c r="J510" s="209"/>
      <c r="K510" s="210"/>
      <c r="L510" s="210"/>
      <c r="M510" s="210"/>
      <c r="N510" s="210"/>
      <c r="O510" s="210"/>
      <c r="P510" s="210"/>
      <c r="Q510" s="210"/>
      <c r="R510" s="210"/>
      <c r="S510" s="210"/>
      <c r="T510" s="210"/>
      <c r="U510" s="210"/>
      <c r="V510" s="210"/>
      <c r="W510" s="210"/>
      <c r="X510" s="210"/>
      <c r="Y510" s="210"/>
      <c r="Z510" s="210"/>
      <c r="AA510" s="210"/>
      <c r="AB510" s="210"/>
      <c r="AC510" s="210"/>
      <c r="AD510" s="210"/>
      <c r="AE510" s="210"/>
      <c r="AF510" s="211"/>
      <c r="AG510" s="162"/>
      <c r="AH510" s="19"/>
      <c r="AI510" s="19"/>
      <c r="AJ510" s="19"/>
      <c r="AK510" s="19"/>
      <c r="AL510" s="19"/>
      <c r="AM510" s="19"/>
    </row>
    <row r="511" spans="2:39">
      <c r="B511" s="19"/>
      <c r="C511" s="19"/>
      <c r="D511" s="19"/>
      <c r="E511" s="19"/>
      <c r="F511" s="19"/>
      <c r="G511" s="19"/>
      <c r="H511" s="19"/>
      <c r="I511" s="159"/>
      <c r="J511" s="209"/>
      <c r="K511" s="210"/>
      <c r="L511" s="210"/>
      <c r="M511" s="210"/>
      <c r="N511" s="210"/>
      <c r="O511" s="210"/>
      <c r="P511" s="210"/>
      <c r="Q511" s="210"/>
      <c r="R511" s="210"/>
      <c r="S511" s="210"/>
      <c r="T511" s="210"/>
      <c r="U511" s="210"/>
      <c r="V511" s="210"/>
      <c r="W511" s="210"/>
      <c r="X511" s="210"/>
      <c r="Y511" s="210"/>
      <c r="Z511" s="210"/>
      <c r="AA511" s="210"/>
      <c r="AB511" s="210"/>
      <c r="AC511" s="210"/>
      <c r="AD511" s="210"/>
      <c r="AE511" s="210"/>
      <c r="AF511" s="211"/>
      <c r="AG511" s="162"/>
      <c r="AH511" s="19"/>
      <c r="AI511" s="19"/>
      <c r="AJ511" s="19"/>
      <c r="AK511" s="19"/>
      <c r="AL511" s="19"/>
      <c r="AM511" s="19"/>
    </row>
    <row r="512" spans="2:39">
      <c r="B512" s="19"/>
      <c r="C512" s="19"/>
      <c r="D512" s="19"/>
      <c r="E512" s="19"/>
      <c r="F512" s="19"/>
      <c r="G512" s="19"/>
      <c r="H512" s="19"/>
      <c r="I512" s="159"/>
      <c r="J512" s="209"/>
      <c r="K512" s="210"/>
      <c r="L512" s="210"/>
      <c r="M512" s="210"/>
      <c r="N512" s="210"/>
      <c r="O512" s="210"/>
      <c r="P512" s="210"/>
      <c r="Q512" s="210"/>
      <c r="R512" s="210"/>
      <c r="S512" s="210"/>
      <c r="T512" s="210"/>
      <c r="U512" s="210"/>
      <c r="V512" s="210"/>
      <c r="W512" s="210"/>
      <c r="X512" s="210"/>
      <c r="Y512" s="210"/>
      <c r="Z512" s="210"/>
      <c r="AA512" s="210"/>
      <c r="AB512" s="210"/>
      <c r="AC512" s="210"/>
      <c r="AD512" s="210"/>
      <c r="AE512" s="210"/>
      <c r="AF512" s="211"/>
      <c r="AG512" s="162"/>
      <c r="AH512" s="19"/>
      <c r="AI512" s="19"/>
      <c r="AJ512" s="19"/>
      <c r="AK512" s="19"/>
      <c r="AL512" s="19"/>
      <c r="AM512" s="19"/>
    </row>
    <row r="513" spans="2:39">
      <c r="B513" s="19"/>
      <c r="C513" s="19"/>
      <c r="D513" s="19"/>
      <c r="E513" s="19"/>
      <c r="F513" s="19"/>
      <c r="G513" s="19"/>
      <c r="H513" s="19"/>
      <c r="I513" s="159"/>
      <c r="J513" s="209"/>
      <c r="K513" s="210"/>
      <c r="L513" s="210"/>
      <c r="M513" s="210"/>
      <c r="N513" s="210"/>
      <c r="O513" s="210"/>
      <c r="P513" s="210"/>
      <c r="Q513" s="210"/>
      <c r="R513" s="210"/>
      <c r="S513" s="210"/>
      <c r="T513" s="210"/>
      <c r="U513" s="210"/>
      <c r="V513" s="210"/>
      <c r="W513" s="210"/>
      <c r="X513" s="210"/>
      <c r="Y513" s="210"/>
      <c r="Z513" s="210"/>
      <c r="AA513" s="210"/>
      <c r="AB513" s="210"/>
      <c r="AC513" s="210"/>
      <c r="AD513" s="210"/>
      <c r="AE513" s="210"/>
      <c r="AF513" s="211"/>
      <c r="AG513" s="162"/>
      <c r="AH513" s="19"/>
      <c r="AI513" s="19"/>
      <c r="AJ513" s="19"/>
      <c r="AK513" s="19"/>
      <c r="AL513" s="19"/>
      <c r="AM513" s="19"/>
    </row>
    <row r="514" spans="2:39" ht="16.5" customHeight="1">
      <c r="B514" s="19"/>
      <c r="C514" s="19"/>
      <c r="D514" s="19"/>
      <c r="E514" s="19"/>
      <c r="F514" s="19"/>
      <c r="G514" s="19"/>
      <c r="H514" s="19"/>
      <c r="I514" s="159"/>
      <c r="J514" s="209"/>
      <c r="K514" s="210"/>
      <c r="L514" s="210"/>
      <c r="M514" s="210"/>
      <c r="N514" s="210"/>
      <c r="O514" s="210"/>
      <c r="P514" s="210"/>
      <c r="Q514" s="210"/>
      <c r="R514" s="210"/>
      <c r="S514" s="210"/>
      <c r="T514" s="210"/>
      <c r="U514" s="210"/>
      <c r="V514" s="210"/>
      <c r="W514" s="210"/>
      <c r="X514" s="210"/>
      <c r="Y514" s="210"/>
      <c r="Z514" s="210"/>
      <c r="AA514" s="210"/>
      <c r="AB514" s="210"/>
      <c r="AC514" s="210"/>
      <c r="AD514" s="210"/>
      <c r="AE514" s="210"/>
      <c r="AF514" s="211"/>
      <c r="AG514" s="162"/>
      <c r="AH514" s="19"/>
      <c r="AI514" s="19"/>
      <c r="AJ514" s="19"/>
      <c r="AK514" s="19"/>
      <c r="AL514" s="19"/>
      <c r="AM514" s="19"/>
    </row>
    <row r="515" spans="2:39">
      <c r="B515" s="19"/>
      <c r="C515" s="19"/>
      <c r="D515" s="19"/>
      <c r="E515" s="19"/>
      <c r="F515" s="19"/>
      <c r="G515" s="19"/>
      <c r="H515" s="19"/>
      <c r="I515" s="159"/>
      <c r="J515" s="209"/>
      <c r="K515" s="210"/>
      <c r="L515" s="210"/>
      <c r="M515" s="210"/>
      <c r="N515" s="210"/>
      <c r="O515" s="210"/>
      <c r="P515" s="210"/>
      <c r="Q515" s="210"/>
      <c r="R515" s="210"/>
      <c r="S515" s="210"/>
      <c r="T515" s="210"/>
      <c r="U515" s="210"/>
      <c r="V515" s="210"/>
      <c r="W515" s="210"/>
      <c r="X515" s="210"/>
      <c r="Y515" s="210"/>
      <c r="Z515" s="210"/>
      <c r="AA515" s="210"/>
      <c r="AB515" s="210"/>
      <c r="AC515" s="210"/>
      <c r="AD515" s="210"/>
      <c r="AE515" s="210"/>
      <c r="AF515" s="211"/>
      <c r="AG515" s="162"/>
      <c r="AH515" s="19"/>
      <c r="AI515" s="19"/>
      <c r="AJ515" s="19"/>
      <c r="AK515" s="19"/>
      <c r="AL515" s="19"/>
      <c r="AM515" s="19"/>
    </row>
    <row r="516" spans="2:39">
      <c r="B516" s="19"/>
      <c r="C516" s="19"/>
      <c r="D516" s="19"/>
      <c r="E516" s="19"/>
      <c r="F516" s="19"/>
      <c r="G516" s="19"/>
      <c r="H516" s="19"/>
      <c r="I516" s="159"/>
      <c r="J516" s="209"/>
      <c r="K516" s="210"/>
      <c r="L516" s="210"/>
      <c r="M516" s="210"/>
      <c r="N516" s="210"/>
      <c r="O516" s="210"/>
      <c r="P516" s="210"/>
      <c r="Q516" s="210"/>
      <c r="R516" s="210"/>
      <c r="S516" s="210"/>
      <c r="T516" s="210"/>
      <c r="U516" s="210"/>
      <c r="V516" s="210"/>
      <c r="W516" s="210"/>
      <c r="X516" s="210"/>
      <c r="Y516" s="210"/>
      <c r="Z516" s="210"/>
      <c r="AA516" s="210"/>
      <c r="AB516" s="210"/>
      <c r="AC516" s="210"/>
      <c r="AD516" s="210"/>
      <c r="AE516" s="210"/>
      <c r="AF516" s="211"/>
      <c r="AG516" s="162"/>
      <c r="AH516" s="19"/>
      <c r="AI516" s="19"/>
      <c r="AJ516" s="19"/>
      <c r="AK516" s="19"/>
      <c r="AL516" s="19"/>
      <c r="AM516" s="19"/>
    </row>
    <row r="517" spans="2:39">
      <c r="B517" s="19"/>
      <c r="C517" s="19"/>
      <c r="D517" s="19"/>
      <c r="E517" s="19"/>
      <c r="F517" s="19"/>
      <c r="G517" s="19"/>
      <c r="H517" s="19"/>
      <c r="I517" s="159"/>
      <c r="J517" s="209"/>
      <c r="K517" s="210"/>
      <c r="L517" s="210"/>
      <c r="M517" s="210"/>
      <c r="N517" s="210"/>
      <c r="O517" s="210"/>
      <c r="P517" s="210"/>
      <c r="Q517" s="210"/>
      <c r="R517" s="210"/>
      <c r="S517" s="210"/>
      <c r="T517" s="210"/>
      <c r="U517" s="210"/>
      <c r="V517" s="210"/>
      <c r="W517" s="210"/>
      <c r="X517" s="210"/>
      <c r="Y517" s="210"/>
      <c r="Z517" s="210"/>
      <c r="AA517" s="210"/>
      <c r="AB517" s="210"/>
      <c r="AC517" s="210"/>
      <c r="AD517" s="210"/>
      <c r="AE517" s="210"/>
      <c r="AF517" s="211"/>
      <c r="AG517" s="162"/>
      <c r="AH517" s="19"/>
      <c r="AI517" s="19"/>
      <c r="AJ517" s="19"/>
      <c r="AK517" s="19"/>
      <c r="AL517" s="19"/>
      <c r="AM517" s="19"/>
    </row>
    <row r="518" spans="2:39">
      <c r="B518" s="19"/>
      <c r="C518" s="19"/>
      <c r="D518" s="19"/>
      <c r="E518" s="19"/>
      <c r="F518" s="19"/>
      <c r="G518" s="19"/>
      <c r="H518" s="19"/>
      <c r="I518" s="159"/>
      <c r="J518" s="209"/>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1"/>
      <c r="AG518" s="162"/>
      <c r="AH518" s="19"/>
      <c r="AI518" s="19"/>
      <c r="AJ518" s="19"/>
      <c r="AK518" s="19"/>
      <c r="AL518" s="19"/>
      <c r="AM518" s="19"/>
    </row>
    <row r="519" spans="2:39">
      <c r="B519" s="19"/>
      <c r="C519" s="19"/>
      <c r="D519" s="19"/>
      <c r="E519" s="19"/>
      <c r="F519" s="19"/>
      <c r="G519" s="19"/>
      <c r="H519" s="19"/>
      <c r="I519" s="159"/>
      <c r="J519" s="209"/>
      <c r="K519" s="210"/>
      <c r="L519" s="210"/>
      <c r="M519" s="210"/>
      <c r="N519" s="210"/>
      <c r="O519" s="210"/>
      <c r="P519" s="210"/>
      <c r="Q519" s="210"/>
      <c r="R519" s="210"/>
      <c r="S519" s="210"/>
      <c r="T519" s="210"/>
      <c r="U519" s="210"/>
      <c r="V519" s="210"/>
      <c r="W519" s="210"/>
      <c r="X519" s="210"/>
      <c r="Y519" s="210"/>
      <c r="Z519" s="210"/>
      <c r="AA519" s="210"/>
      <c r="AB519" s="210"/>
      <c r="AC519" s="210"/>
      <c r="AD519" s="210"/>
      <c r="AE519" s="210"/>
      <c r="AF519" s="211"/>
      <c r="AG519" s="162"/>
      <c r="AH519" s="19"/>
      <c r="AI519" s="19"/>
      <c r="AJ519" s="19"/>
      <c r="AK519" s="19"/>
      <c r="AL519" s="19"/>
      <c r="AM519" s="19"/>
    </row>
    <row r="520" spans="2:39">
      <c r="B520" s="19"/>
      <c r="C520" s="19"/>
      <c r="D520" s="19"/>
      <c r="E520" s="19"/>
      <c r="F520" s="19"/>
      <c r="G520" s="19"/>
      <c r="H520" s="19"/>
      <c r="I520" s="159"/>
      <c r="J520" s="209"/>
      <c r="K520" s="210"/>
      <c r="L520" s="210"/>
      <c r="M520" s="210"/>
      <c r="N520" s="210"/>
      <c r="O520" s="210"/>
      <c r="P520" s="210"/>
      <c r="Q520" s="210"/>
      <c r="R520" s="210"/>
      <c r="S520" s="210"/>
      <c r="T520" s="210"/>
      <c r="U520" s="210"/>
      <c r="V520" s="210"/>
      <c r="W520" s="210"/>
      <c r="X520" s="210"/>
      <c r="Y520" s="210"/>
      <c r="Z520" s="210"/>
      <c r="AA520" s="210"/>
      <c r="AB520" s="210"/>
      <c r="AC520" s="210"/>
      <c r="AD520" s="210"/>
      <c r="AE520" s="210"/>
      <c r="AF520" s="211"/>
      <c r="AG520" s="162"/>
      <c r="AH520" s="19"/>
      <c r="AI520" s="19"/>
      <c r="AJ520" s="19"/>
      <c r="AK520" s="19"/>
      <c r="AL520" s="19"/>
      <c r="AM520" s="19"/>
    </row>
    <row r="521" spans="2:39" ht="17.25" thickBot="1">
      <c r="B521" s="19"/>
      <c r="C521" s="19"/>
      <c r="D521" s="19"/>
      <c r="E521" s="19"/>
      <c r="F521" s="19"/>
      <c r="G521" s="19"/>
      <c r="H521" s="19"/>
      <c r="I521" s="159"/>
      <c r="J521" s="212"/>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4"/>
      <c r="AG521" s="162"/>
      <c r="AH521" s="19"/>
      <c r="AI521" s="19"/>
      <c r="AJ521" s="19"/>
      <c r="AK521" s="19"/>
      <c r="AL521" s="19"/>
      <c r="AM521" s="19"/>
    </row>
    <row r="522" spans="2:39" ht="17.25" thickBot="1">
      <c r="B522" s="19"/>
      <c r="C522" s="19"/>
      <c r="D522" s="19"/>
      <c r="E522" s="19"/>
      <c r="F522" s="19"/>
      <c r="G522" s="19"/>
      <c r="H522" s="19"/>
      <c r="I522" s="160"/>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62"/>
      <c r="AH522" s="19"/>
      <c r="AI522" s="19"/>
      <c r="AJ522" s="19"/>
      <c r="AK522" s="19"/>
      <c r="AL522" s="19"/>
      <c r="AM522" s="19"/>
    </row>
    <row r="523" spans="2:39" ht="17.25" thickBot="1">
      <c r="B523" s="19"/>
      <c r="C523" s="19"/>
      <c r="D523" s="19"/>
      <c r="E523" s="19"/>
      <c r="F523" s="19"/>
      <c r="G523" s="19"/>
      <c r="H523" s="19"/>
      <c r="I523" s="160"/>
      <c r="J523" s="215" t="s">
        <v>673</v>
      </c>
      <c r="K523" s="216"/>
      <c r="L523" s="216"/>
      <c r="M523" s="217"/>
      <c r="N523" s="221" t="s">
        <v>672</v>
      </c>
      <c r="O523" s="221"/>
      <c r="P523" s="221"/>
      <c r="Q523" s="221"/>
      <c r="R523" s="221"/>
      <c r="S523" s="221"/>
      <c r="T523" s="221"/>
      <c r="U523" s="221"/>
      <c r="V523" s="221"/>
      <c r="W523" s="221"/>
      <c r="X523" s="221"/>
      <c r="Y523" s="221"/>
      <c r="Z523" s="221"/>
      <c r="AA523" s="221"/>
      <c r="AB523" s="221"/>
      <c r="AC523" s="221"/>
      <c r="AD523" s="221"/>
      <c r="AE523" s="221"/>
      <c r="AF523" s="222"/>
      <c r="AG523" s="162"/>
      <c r="AH523" s="19"/>
      <c r="AI523" s="19"/>
      <c r="AJ523" s="19"/>
      <c r="AK523" s="19"/>
      <c r="AL523" s="19"/>
      <c r="AM523" s="19"/>
    </row>
    <row r="524" spans="2:39" ht="17.25" thickBot="1">
      <c r="B524" s="19"/>
      <c r="C524" s="19"/>
      <c r="D524" s="19"/>
      <c r="E524" s="19"/>
      <c r="F524" s="19"/>
      <c r="G524" s="19"/>
      <c r="H524" s="19"/>
      <c r="I524" s="160"/>
      <c r="J524" s="218"/>
      <c r="K524" s="219"/>
      <c r="L524" s="219"/>
      <c r="M524" s="220"/>
      <c r="N524" s="157" t="s">
        <v>662</v>
      </c>
      <c r="O524" s="157"/>
      <c r="P524" s="167" t="s">
        <v>712</v>
      </c>
      <c r="Q524" s="157" t="s">
        <v>663</v>
      </c>
      <c r="R524" s="157"/>
      <c r="S524" s="157"/>
      <c r="T524" s="167"/>
      <c r="U524" s="157"/>
      <c r="V524" s="153"/>
      <c r="W524" s="153"/>
      <c r="X524" s="153"/>
      <c r="Y524" s="153"/>
      <c r="Z524" s="153"/>
      <c r="AA524" s="153"/>
      <c r="AB524" s="153"/>
      <c r="AC524" s="153"/>
      <c r="AD524" s="153"/>
      <c r="AE524" s="153"/>
      <c r="AF524" s="154"/>
      <c r="AG524" s="162"/>
      <c r="AH524" s="19"/>
      <c r="AI524" s="19"/>
      <c r="AJ524" s="19"/>
      <c r="AK524" s="19"/>
      <c r="AL524" s="19"/>
      <c r="AM524" s="19"/>
    </row>
    <row r="525" spans="2:39" ht="17.25" thickBot="1">
      <c r="B525" s="19"/>
      <c r="C525" s="19"/>
      <c r="D525" s="19"/>
      <c r="E525" s="19"/>
      <c r="F525" s="19"/>
      <c r="G525" s="19"/>
      <c r="H525" s="19"/>
      <c r="I525" s="160"/>
      <c r="J525" s="215" t="s">
        <v>670</v>
      </c>
      <c r="K525" s="216"/>
      <c r="L525" s="216"/>
      <c r="M525" s="217"/>
      <c r="N525" s="221" t="s">
        <v>671</v>
      </c>
      <c r="O525" s="221"/>
      <c r="P525" s="221"/>
      <c r="Q525" s="221"/>
      <c r="R525" s="221"/>
      <c r="S525" s="221"/>
      <c r="T525" s="221"/>
      <c r="U525" s="221"/>
      <c r="V525" s="221"/>
      <c r="W525" s="221"/>
      <c r="X525" s="221"/>
      <c r="Y525" s="221"/>
      <c r="Z525" s="221"/>
      <c r="AA525" s="221"/>
      <c r="AB525" s="221"/>
      <c r="AC525" s="221"/>
      <c r="AD525" s="221"/>
      <c r="AE525" s="221"/>
      <c r="AF525" s="222"/>
      <c r="AG525" s="162"/>
      <c r="AH525" s="19"/>
      <c r="AI525" s="19"/>
      <c r="AJ525" s="19"/>
      <c r="AK525" s="19"/>
      <c r="AL525" s="19"/>
      <c r="AM525" s="19"/>
    </row>
    <row r="526" spans="2:39" ht="17.25" thickBot="1">
      <c r="B526" s="19"/>
      <c r="C526" s="19"/>
      <c r="D526" s="19"/>
      <c r="E526" s="19"/>
      <c r="F526" s="19"/>
      <c r="G526" s="19"/>
      <c r="H526" s="19"/>
      <c r="I526" s="160"/>
      <c r="J526" s="218"/>
      <c r="K526" s="219"/>
      <c r="L526" s="219"/>
      <c r="M526" s="220"/>
      <c r="N526" s="157" t="s">
        <v>662</v>
      </c>
      <c r="O526" s="157"/>
      <c r="P526" s="167" t="s">
        <v>712</v>
      </c>
      <c r="Q526" s="157" t="s">
        <v>663</v>
      </c>
      <c r="R526" s="157"/>
      <c r="S526" s="157"/>
      <c r="T526" s="167"/>
      <c r="U526" s="157"/>
      <c r="V526" s="153"/>
      <c r="W526" s="153"/>
      <c r="X526" s="153"/>
      <c r="Y526" s="153"/>
      <c r="Z526" s="153"/>
      <c r="AA526" s="153"/>
      <c r="AB526" s="153"/>
      <c r="AC526" s="153"/>
      <c r="AD526" s="153"/>
      <c r="AE526" s="153"/>
      <c r="AF526" s="154"/>
      <c r="AG526" s="162"/>
      <c r="AH526" s="19"/>
      <c r="AI526" s="19"/>
      <c r="AJ526" s="19"/>
      <c r="AK526" s="19"/>
      <c r="AL526" s="19"/>
      <c r="AM526" s="19"/>
    </row>
    <row r="527" spans="2:39" ht="17.25" thickBot="1">
      <c r="B527" s="19"/>
      <c r="C527" s="19"/>
      <c r="D527" s="19"/>
      <c r="E527" s="19"/>
      <c r="F527" s="19"/>
      <c r="G527" s="19"/>
      <c r="H527" s="19"/>
      <c r="I527" s="149"/>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63"/>
      <c r="AH527" s="19"/>
      <c r="AI527" s="19"/>
      <c r="AJ527" s="19"/>
      <c r="AK527" s="19"/>
      <c r="AL527" s="19"/>
      <c r="AM527" s="19"/>
    </row>
    <row r="528" spans="2:3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row>
    <row r="529" spans="2:3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row>
  </sheetData>
  <sheetProtection algorithmName="SHA-512" hashValue="M+um3MoLhrTKQBKEKc3mNrFoEw5wCHyKsBfiCRJK6HcL9D6iypcmyGhnjbQSCtJpJpmg3l1VMyvHcxdK6Qxu5A==" saltValue="yJVQq9hWuYJ68s6fbFBKPw==" spinCount="100000" sheet="1" objects="1" scenarios="1"/>
  <mergeCells count="2569">
    <mergeCell ref="I433:J433"/>
    <mergeCell ref="K433:M433"/>
    <mergeCell ref="N433:Q433"/>
    <mergeCell ref="AB433:AE433"/>
    <mergeCell ref="I434:J434"/>
    <mergeCell ref="K434:M434"/>
    <mergeCell ref="N434:Q434"/>
    <mergeCell ref="AB434:AE434"/>
    <mergeCell ref="I435:J435"/>
    <mergeCell ref="K435:M435"/>
    <mergeCell ref="N435:Q435"/>
    <mergeCell ref="N436:Q436"/>
    <mergeCell ref="AB436:AE436"/>
    <mergeCell ref="I437:J437"/>
    <mergeCell ref="K437:M437"/>
    <mergeCell ref="N437:Q437"/>
    <mergeCell ref="AB437:AE437"/>
    <mergeCell ref="R434:S434"/>
    <mergeCell ref="U434:AA434"/>
    <mergeCell ref="R437:S437"/>
    <mergeCell ref="U437:AA437"/>
    <mergeCell ref="I444:J444"/>
    <mergeCell ref="K444:M444"/>
    <mergeCell ref="N444:Q444"/>
    <mergeCell ref="R444:AA444"/>
    <mergeCell ref="AB444:AE444"/>
    <mergeCell ref="N438:Q438"/>
    <mergeCell ref="AB438:AE438"/>
    <mergeCell ref="I439:J439"/>
    <mergeCell ref="K439:M439"/>
    <mergeCell ref="N439:Q439"/>
    <mergeCell ref="AB439:AE439"/>
    <mergeCell ref="I440:J440"/>
    <mergeCell ref="K440:M440"/>
    <mergeCell ref="N440:Q440"/>
    <mergeCell ref="AB440:AE440"/>
    <mergeCell ref="I441:J441"/>
    <mergeCell ref="K441:M441"/>
    <mergeCell ref="N441:Q441"/>
    <mergeCell ref="R441:AA441"/>
    <mergeCell ref="AB441:AE441"/>
    <mergeCell ref="I438:J438"/>
    <mergeCell ref="K438:M438"/>
    <mergeCell ref="R439:S439"/>
    <mergeCell ref="U439:AA439"/>
    <mergeCell ref="R440:S440"/>
    <mergeCell ref="U440:AA440"/>
    <mergeCell ref="I442:J442"/>
    <mergeCell ref="K442:M442"/>
    <mergeCell ref="N442:Q442"/>
    <mergeCell ref="R442:AA442"/>
    <mergeCell ref="AB442:AE442"/>
    <mergeCell ref="R438:S438"/>
    <mergeCell ref="K430:M430"/>
    <mergeCell ref="N430:Q430"/>
    <mergeCell ref="AB430:AE430"/>
    <mergeCell ref="I431:J431"/>
    <mergeCell ref="K431:M431"/>
    <mergeCell ref="N431:Q431"/>
    <mergeCell ref="AB431:AE431"/>
    <mergeCell ref="I432:J432"/>
    <mergeCell ref="K432:M432"/>
    <mergeCell ref="N432:Q432"/>
    <mergeCell ref="AB432:AE432"/>
    <mergeCell ref="R429:S429"/>
    <mergeCell ref="U429:AA429"/>
    <mergeCell ref="I443:J443"/>
    <mergeCell ref="K443:M443"/>
    <mergeCell ref="N443:Q443"/>
    <mergeCell ref="R443:AA443"/>
    <mergeCell ref="AB443:AE443"/>
    <mergeCell ref="AB435:AE435"/>
    <mergeCell ref="I436:J436"/>
    <mergeCell ref="K436:M436"/>
    <mergeCell ref="R436:S436"/>
    <mergeCell ref="U436:AA436"/>
    <mergeCell ref="I429:J429"/>
    <mergeCell ref="K429:M429"/>
    <mergeCell ref="N429:Q429"/>
    <mergeCell ref="AB429:AE429"/>
    <mergeCell ref="I430:J430"/>
    <mergeCell ref="R435:S435"/>
    <mergeCell ref="U435:AA435"/>
    <mergeCell ref="R433:S433"/>
    <mergeCell ref="U433:AA433"/>
    <mergeCell ref="I425:J425"/>
    <mergeCell ref="K425:M425"/>
    <mergeCell ref="N425:Q425"/>
    <mergeCell ref="AB425:AE425"/>
    <mergeCell ref="I426:J426"/>
    <mergeCell ref="K426:M426"/>
    <mergeCell ref="N426:Q426"/>
    <mergeCell ref="AB426:AE426"/>
    <mergeCell ref="I427:J427"/>
    <mergeCell ref="K427:M427"/>
    <mergeCell ref="N427:Q427"/>
    <mergeCell ref="AB427:AE427"/>
    <mergeCell ref="I428:J428"/>
    <mergeCell ref="K428:M428"/>
    <mergeCell ref="N428:Q428"/>
    <mergeCell ref="AB428:AE428"/>
    <mergeCell ref="R426:S426"/>
    <mergeCell ref="U426:AA426"/>
    <mergeCell ref="R427:S427"/>
    <mergeCell ref="U427:AA427"/>
    <mergeCell ref="R428:S428"/>
    <mergeCell ref="U428:AA428"/>
    <mergeCell ref="AB413:AE413"/>
    <mergeCell ref="I414:J414"/>
    <mergeCell ref="K414:M414"/>
    <mergeCell ref="AB423:AE423"/>
    <mergeCell ref="R423:AA423"/>
    <mergeCell ref="N423:Q423"/>
    <mergeCell ref="K423:M423"/>
    <mergeCell ref="I423:J423"/>
    <mergeCell ref="I422:J422"/>
    <mergeCell ref="K422:M422"/>
    <mergeCell ref="N422:Q422"/>
    <mergeCell ref="R422:AA422"/>
    <mergeCell ref="AB422:AE422"/>
    <mergeCell ref="I424:J424"/>
    <mergeCell ref="K424:M424"/>
    <mergeCell ref="N424:Q424"/>
    <mergeCell ref="R424:AA424"/>
    <mergeCell ref="AB424:AE424"/>
    <mergeCell ref="I418:J418"/>
    <mergeCell ref="K418:M418"/>
    <mergeCell ref="N418:Q418"/>
    <mergeCell ref="AB418:AE418"/>
    <mergeCell ref="I419:J419"/>
    <mergeCell ref="K419:M419"/>
    <mergeCell ref="N419:Q419"/>
    <mergeCell ref="AB419:AE419"/>
    <mergeCell ref="I420:J420"/>
    <mergeCell ref="K420:M420"/>
    <mergeCell ref="N420:Q420"/>
    <mergeCell ref="AB420:AE420"/>
    <mergeCell ref="I421:J421"/>
    <mergeCell ref="K421:M421"/>
    <mergeCell ref="N408:Q408"/>
    <mergeCell ref="AB408:AE408"/>
    <mergeCell ref="U407:AA407"/>
    <mergeCell ref="N410:Q410"/>
    <mergeCell ref="AB410:AE410"/>
    <mergeCell ref="I411:J411"/>
    <mergeCell ref="K411:M411"/>
    <mergeCell ref="N411:Q411"/>
    <mergeCell ref="AB411:AE411"/>
    <mergeCell ref="I412:J412"/>
    <mergeCell ref="K412:M412"/>
    <mergeCell ref="N412:Q412"/>
    <mergeCell ref="AB412:AE412"/>
    <mergeCell ref="N421:Q421"/>
    <mergeCell ref="R421:AA421"/>
    <mergeCell ref="AB421:AE421"/>
    <mergeCell ref="AB414:AE414"/>
    <mergeCell ref="I415:J415"/>
    <mergeCell ref="K415:M415"/>
    <mergeCell ref="N415:Q415"/>
    <mergeCell ref="AB415:AE415"/>
    <mergeCell ref="I416:J416"/>
    <mergeCell ref="K416:M416"/>
    <mergeCell ref="N416:Q416"/>
    <mergeCell ref="AB416:AE416"/>
    <mergeCell ref="I417:J417"/>
    <mergeCell ref="K417:M417"/>
    <mergeCell ref="N417:Q417"/>
    <mergeCell ref="AB417:AE417"/>
    <mergeCell ref="I413:J413"/>
    <mergeCell ref="K413:M413"/>
    <mergeCell ref="N413:Q413"/>
    <mergeCell ref="K401:M401"/>
    <mergeCell ref="N401:Q401"/>
    <mergeCell ref="AB401:AE401"/>
    <mergeCell ref="N414:Q414"/>
    <mergeCell ref="I403:J403"/>
    <mergeCell ref="K403:M403"/>
    <mergeCell ref="N403:Q403"/>
    <mergeCell ref="AB403:AE403"/>
    <mergeCell ref="I404:J404"/>
    <mergeCell ref="K404:M404"/>
    <mergeCell ref="N404:Q404"/>
    <mergeCell ref="AB404:AE404"/>
    <mergeCell ref="I405:J405"/>
    <mergeCell ref="K405:M405"/>
    <mergeCell ref="N405:Q405"/>
    <mergeCell ref="AB405:AE405"/>
    <mergeCell ref="I406:J406"/>
    <mergeCell ref="K406:M406"/>
    <mergeCell ref="N406:Q406"/>
    <mergeCell ref="AB406:AE406"/>
    <mergeCell ref="I407:J407"/>
    <mergeCell ref="K407:M407"/>
    <mergeCell ref="N407:Q407"/>
    <mergeCell ref="I409:J409"/>
    <mergeCell ref="K409:M409"/>
    <mergeCell ref="N409:Q409"/>
    <mergeCell ref="AB409:AE409"/>
    <mergeCell ref="I410:J410"/>
    <mergeCell ref="K410:M410"/>
    <mergeCell ref="AB407:AE407"/>
    <mergeCell ref="I408:J408"/>
    <mergeCell ref="K408:M408"/>
    <mergeCell ref="K394:M394"/>
    <mergeCell ref="N394:Q394"/>
    <mergeCell ref="AB394:AE394"/>
    <mergeCell ref="I395:J395"/>
    <mergeCell ref="K395:M395"/>
    <mergeCell ref="N395:Q395"/>
    <mergeCell ref="AB395:AE395"/>
    <mergeCell ref="I396:J396"/>
    <mergeCell ref="K396:M396"/>
    <mergeCell ref="N396:Q396"/>
    <mergeCell ref="AB396:AE396"/>
    <mergeCell ref="U392:AA392"/>
    <mergeCell ref="U393:AA393"/>
    <mergeCell ref="U394:AA394"/>
    <mergeCell ref="U401:AA401"/>
    <mergeCell ref="I397:J397"/>
    <mergeCell ref="K397:M397"/>
    <mergeCell ref="N397:Q397"/>
    <mergeCell ref="AB397:AE397"/>
    <mergeCell ref="I398:J398"/>
    <mergeCell ref="K398:M398"/>
    <mergeCell ref="N398:Q398"/>
    <mergeCell ref="AB398:AE398"/>
    <mergeCell ref="I399:J399"/>
    <mergeCell ref="K399:M399"/>
    <mergeCell ref="N399:Q399"/>
    <mergeCell ref="AB399:AE399"/>
    <mergeCell ref="I400:J400"/>
    <mergeCell ref="K400:M400"/>
    <mergeCell ref="N400:Q400"/>
    <mergeCell ref="AB400:AE400"/>
    <mergeCell ref="I401:J401"/>
    <mergeCell ref="U391:AA391"/>
    <mergeCell ref="R385:S387"/>
    <mergeCell ref="T385:T387"/>
    <mergeCell ref="R388:S390"/>
    <mergeCell ref="T388:T390"/>
    <mergeCell ref="R391:S393"/>
    <mergeCell ref="T391:T393"/>
    <mergeCell ref="I385:J385"/>
    <mergeCell ref="K385:M385"/>
    <mergeCell ref="N385:Q385"/>
    <mergeCell ref="AB385:AE385"/>
    <mergeCell ref="I386:J386"/>
    <mergeCell ref="K386:M386"/>
    <mergeCell ref="N386:Q386"/>
    <mergeCell ref="U390:AA390"/>
    <mergeCell ref="I402:J402"/>
    <mergeCell ref="K402:M402"/>
    <mergeCell ref="N402:Q402"/>
    <mergeCell ref="AB402:AE402"/>
    <mergeCell ref="I391:J391"/>
    <mergeCell ref="K391:M391"/>
    <mergeCell ref="N391:Q391"/>
    <mergeCell ref="AB391:AE391"/>
    <mergeCell ref="I392:J392"/>
    <mergeCell ref="K392:M392"/>
    <mergeCell ref="N392:Q392"/>
    <mergeCell ref="AB392:AE392"/>
    <mergeCell ref="I393:J393"/>
    <mergeCell ref="K393:M393"/>
    <mergeCell ref="N393:Q393"/>
    <mergeCell ref="AB393:AE393"/>
    <mergeCell ref="I394:J394"/>
    <mergeCell ref="I387:J387"/>
    <mergeCell ref="K387:M387"/>
    <mergeCell ref="N387:Q387"/>
    <mergeCell ref="AB387:AE387"/>
    <mergeCell ref="I388:J388"/>
    <mergeCell ref="K388:M388"/>
    <mergeCell ref="N388:Q388"/>
    <mergeCell ref="AB388:AE388"/>
    <mergeCell ref="I389:J389"/>
    <mergeCell ref="K389:M389"/>
    <mergeCell ref="N389:Q389"/>
    <mergeCell ref="AB389:AE389"/>
    <mergeCell ref="I390:J390"/>
    <mergeCell ref="K390:M390"/>
    <mergeCell ref="N390:Q390"/>
    <mergeCell ref="AB390:AE390"/>
    <mergeCell ref="T382:T384"/>
    <mergeCell ref="I382:J382"/>
    <mergeCell ref="K382:M382"/>
    <mergeCell ref="N382:Q382"/>
    <mergeCell ref="AB382:AE382"/>
    <mergeCell ref="I383:J383"/>
    <mergeCell ref="K383:M383"/>
    <mergeCell ref="N383:Q383"/>
    <mergeCell ref="AB383:AE383"/>
    <mergeCell ref="I384:J384"/>
    <mergeCell ref="K384:M384"/>
    <mergeCell ref="N384:Q384"/>
    <mergeCell ref="AB384:AE384"/>
    <mergeCell ref="AB386:AE386"/>
    <mergeCell ref="K376:M376"/>
    <mergeCell ref="N376:Q376"/>
    <mergeCell ref="AB376:AE376"/>
    <mergeCell ref="I377:J377"/>
    <mergeCell ref="K377:M377"/>
    <mergeCell ref="N377:Q377"/>
    <mergeCell ref="AB377:AE377"/>
    <mergeCell ref="I378:J378"/>
    <mergeCell ref="K378:M378"/>
    <mergeCell ref="N378:Q378"/>
    <mergeCell ref="AB378:AE378"/>
    <mergeCell ref="I379:J379"/>
    <mergeCell ref="K379:M379"/>
    <mergeCell ref="N379:Q379"/>
    <mergeCell ref="AB379:AE379"/>
    <mergeCell ref="I380:J380"/>
    <mergeCell ref="K380:M380"/>
    <mergeCell ref="N380:Q380"/>
    <mergeCell ref="AB380:AE380"/>
    <mergeCell ref="R376:S378"/>
    <mergeCell ref="T376:T378"/>
    <mergeCell ref="R379:S381"/>
    <mergeCell ref="T379:T381"/>
    <mergeCell ref="I381:J381"/>
    <mergeCell ref="K381:M381"/>
    <mergeCell ref="N381:Q381"/>
    <mergeCell ref="AB381:AE381"/>
    <mergeCell ref="U376:AA376"/>
    <mergeCell ref="U377:AA377"/>
    <mergeCell ref="U378:AA378"/>
    <mergeCell ref="U379:AA379"/>
    <mergeCell ref="I376:J376"/>
    <mergeCell ref="I371:J371"/>
    <mergeCell ref="K371:M371"/>
    <mergeCell ref="N371:Q371"/>
    <mergeCell ref="AB371:AE371"/>
    <mergeCell ref="I372:J372"/>
    <mergeCell ref="K372:M372"/>
    <mergeCell ref="N372:Q372"/>
    <mergeCell ref="AB372:AE372"/>
    <mergeCell ref="I373:J373"/>
    <mergeCell ref="K373:M373"/>
    <mergeCell ref="N373:Q373"/>
    <mergeCell ref="AB373:AE373"/>
    <mergeCell ref="I374:J374"/>
    <mergeCell ref="K374:M374"/>
    <mergeCell ref="N374:Q374"/>
    <mergeCell ref="AB374:AE374"/>
    <mergeCell ref="I375:J375"/>
    <mergeCell ref="K375:M375"/>
    <mergeCell ref="N375:Q375"/>
    <mergeCell ref="AB375:AE375"/>
    <mergeCell ref="U373:AA373"/>
    <mergeCell ref="U374:AA374"/>
    <mergeCell ref="U375:AA375"/>
    <mergeCell ref="K364:M364"/>
    <mergeCell ref="N364:Q364"/>
    <mergeCell ref="AB364:AE364"/>
    <mergeCell ref="U361:AA361"/>
    <mergeCell ref="U362:AA362"/>
    <mergeCell ref="U363:AA363"/>
    <mergeCell ref="I370:J370"/>
    <mergeCell ref="K370:M370"/>
    <mergeCell ref="N370:Q370"/>
    <mergeCell ref="AB370:AE370"/>
    <mergeCell ref="I365:J365"/>
    <mergeCell ref="K365:M365"/>
    <mergeCell ref="N365:Q365"/>
    <mergeCell ref="AB365:AE365"/>
    <mergeCell ref="I366:J366"/>
    <mergeCell ref="K366:M366"/>
    <mergeCell ref="N366:Q366"/>
    <mergeCell ref="AB366:AE366"/>
    <mergeCell ref="I367:J367"/>
    <mergeCell ref="K367:M367"/>
    <mergeCell ref="N367:Q367"/>
    <mergeCell ref="AB367:AE367"/>
    <mergeCell ref="I368:J368"/>
    <mergeCell ref="K368:M368"/>
    <mergeCell ref="N368:Q368"/>
    <mergeCell ref="AB368:AE368"/>
    <mergeCell ref="N369:Q369"/>
    <mergeCell ref="AB369:AE369"/>
    <mergeCell ref="I369:J369"/>
    <mergeCell ref="K369:M369"/>
    <mergeCell ref="Q297:T298"/>
    <mergeCell ref="U297:X298"/>
    <mergeCell ref="Y297:Z298"/>
    <mergeCell ref="H357:N357"/>
    <mergeCell ref="O357:W357"/>
    <mergeCell ref="X357:AD357"/>
    <mergeCell ref="H315:I316"/>
    <mergeCell ref="J315:L316"/>
    <mergeCell ref="M315:P316"/>
    <mergeCell ref="Q315:T316"/>
    <mergeCell ref="U315:X316"/>
    <mergeCell ref="Y315:Z316"/>
    <mergeCell ref="Q307:T308"/>
    <mergeCell ref="U307:X308"/>
    <mergeCell ref="M309:P310"/>
    <mergeCell ref="M289:P290"/>
    <mergeCell ref="Q289:T290"/>
    <mergeCell ref="U289:X290"/>
    <mergeCell ref="Y289:Z290"/>
    <mergeCell ref="H295:I296"/>
    <mergeCell ref="M295:P296"/>
    <mergeCell ref="Q295:T296"/>
    <mergeCell ref="U295:X296"/>
    <mergeCell ref="Y295:Z296"/>
    <mergeCell ref="AA295:AB296"/>
    <mergeCell ref="AC295:AD296"/>
    <mergeCell ref="AC301:AD302"/>
    <mergeCell ref="J303:L304"/>
    <mergeCell ref="H339:I340"/>
    <mergeCell ref="J339:L340"/>
    <mergeCell ref="M339:P340"/>
    <mergeCell ref="H333:I334"/>
    <mergeCell ref="BP249:BP250"/>
    <mergeCell ref="BQ249:BQ250"/>
    <mergeCell ref="BR249:BR250"/>
    <mergeCell ref="BS249:BS250"/>
    <mergeCell ref="BT249:BT250"/>
    <mergeCell ref="CM251:CP252"/>
    <mergeCell ref="CQ251:CQ252"/>
    <mergeCell ref="CR251:CR252"/>
    <mergeCell ref="CH253:CH254"/>
    <mergeCell ref="CI253:CL254"/>
    <mergeCell ref="CM253:CP254"/>
    <mergeCell ref="CQ253:CQ254"/>
    <mergeCell ref="BP255:BP256"/>
    <mergeCell ref="BQ255:BQ256"/>
    <mergeCell ref="BR255:BR256"/>
    <mergeCell ref="CR253:CR254"/>
    <mergeCell ref="CH249:CH250"/>
    <mergeCell ref="CI249:CL250"/>
    <mergeCell ref="CM249:CP250"/>
    <mergeCell ref="BU249:BU250"/>
    <mergeCell ref="BS251:BS252"/>
    <mergeCell ref="BR251:BR252"/>
    <mergeCell ref="CQ249:CQ250"/>
    <mergeCell ref="CR249:CR250"/>
    <mergeCell ref="BU251:BU252"/>
    <mergeCell ref="CH251:CH252"/>
    <mergeCell ref="CI251:CL252"/>
    <mergeCell ref="CR255:CR256"/>
    <mergeCell ref="CI241:CL242"/>
    <mergeCell ref="CM241:CP242"/>
    <mergeCell ref="CQ217:CQ218"/>
    <mergeCell ref="CR217:CR218"/>
    <mergeCell ref="CH219:CH220"/>
    <mergeCell ref="CH229:CH230"/>
    <mergeCell ref="CI229:CL230"/>
    <mergeCell ref="CM229:CP230"/>
    <mergeCell ref="CH231:CH232"/>
    <mergeCell ref="CI231:CL232"/>
    <mergeCell ref="CM231:CP232"/>
    <mergeCell ref="CM219:CP220"/>
    <mergeCell ref="CM235:CP236"/>
    <mergeCell ref="BT221:BT222"/>
    <mergeCell ref="BU245:BU246"/>
    <mergeCell ref="BU214:BU215"/>
    <mergeCell ref="BU216:BU217"/>
    <mergeCell ref="BU218:BU219"/>
    <mergeCell ref="CH239:CH240"/>
    <mergeCell ref="CI239:CL240"/>
    <mergeCell ref="CM239:CP240"/>
    <mergeCell ref="CQ239:CQ240"/>
    <mergeCell ref="CR239:CR240"/>
    <mergeCell ref="CH241:CH242"/>
    <mergeCell ref="CQ241:CQ242"/>
    <mergeCell ref="CR241:CR242"/>
    <mergeCell ref="CH245:CH246"/>
    <mergeCell ref="CI245:CL246"/>
    <mergeCell ref="CM245:CP246"/>
    <mergeCell ref="CF235:CF236"/>
    <mergeCell ref="CF237:CF238"/>
    <mergeCell ref="CQ215:CQ216"/>
    <mergeCell ref="BG190:BJ191"/>
    <mergeCell ref="BG194:BJ195"/>
    <mergeCell ref="BQ190:BQ191"/>
    <mergeCell ref="BR190:BR191"/>
    <mergeCell ref="BS190:BS191"/>
    <mergeCell ref="BT190:BT191"/>
    <mergeCell ref="BR199:BR200"/>
    <mergeCell ref="BR201:BR202"/>
    <mergeCell ref="BR203:BR204"/>
    <mergeCell ref="BT247:BT248"/>
    <mergeCell ref="BU247:BU248"/>
    <mergeCell ref="BK245:BN246"/>
    <mergeCell ref="BO245:BO246"/>
    <mergeCell ref="BP245:BP246"/>
    <mergeCell ref="BS216:BS217"/>
    <mergeCell ref="BS218:BS219"/>
    <mergeCell ref="BR245:BR246"/>
    <mergeCell ref="BS245:BS246"/>
    <mergeCell ref="BR234:BR235"/>
    <mergeCell ref="BR236:BR237"/>
    <mergeCell ref="BR238:BR239"/>
    <mergeCell ref="BP238:BP239"/>
    <mergeCell ref="BP240:BP241"/>
    <mergeCell ref="BP243:BP244"/>
    <mergeCell ref="BO227:BO228"/>
    <mergeCell ref="BO229:BO230"/>
    <mergeCell ref="BQ227:BQ228"/>
    <mergeCell ref="BU243:BU244"/>
    <mergeCell ref="BQ234:BQ235"/>
    <mergeCell ref="BQ236:BQ237"/>
    <mergeCell ref="BU234:BU235"/>
    <mergeCell ref="BU236:BU237"/>
    <mergeCell ref="BG192:BJ193"/>
    <mergeCell ref="BK192:BN193"/>
    <mergeCell ref="BO192:BO193"/>
    <mergeCell ref="BP192:BP193"/>
    <mergeCell ref="BQ192:BQ193"/>
    <mergeCell ref="BR192:BR193"/>
    <mergeCell ref="BS192:BS193"/>
    <mergeCell ref="BT192:BT193"/>
    <mergeCell ref="BU192:BU193"/>
    <mergeCell ref="BK194:BN195"/>
    <mergeCell ref="BO194:BO195"/>
    <mergeCell ref="BP194:BP195"/>
    <mergeCell ref="BQ194:BQ195"/>
    <mergeCell ref="BR194:BR195"/>
    <mergeCell ref="BS194:BS195"/>
    <mergeCell ref="BT194:BT195"/>
    <mergeCell ref="BU194:BU195"/>
    <mergeCell ref="BR259:BR260"/>
    <mergeCell ref="BS259:BS260"/>
    <mergeCell ref="BT259:BT260"/>
    <mergeCell ref="BQ257:BQ258"/>
    <mergeCell ref="BR257:BR258"/>
    <mergeCell ref="BS257:BS258"/>
    <mergeCell ref="BU259:BU260"/>
    <mergeCell ref="H261:H262"/>
    <mergeCell ref="I261:L262"/>
    <mergeCell ref="M261:Q262"/>
    <mergeCell ref="R261:V262"/>
    <mergeCell ref="W261:Y262"/>
    <mergeCell ref="Z261:AB262"/>
    <mergeCell ref="AC261:AE262"/>
    <mergeCell ref="AF261:AG262"/>
    <mergeCell ref="AH261:AI262"/>
    <mergeCell ref="AJ261:AK262"/>
    <mergeCell ref="AL261:AM262"/>
    <mergeCell ref="BF261:BF262"/>
    <mergeCell ref="BG261:BJ262"/>
    <mergeCell ref="BK261:BN262"/>
    <mergeCell ref="BO261:BO262"/>
    <mergeCell ref="BP261:BP262"/>
    <mergeCell ref="BQ261:BQ262"/>
    <mergeCell ref="BR261:BR262"/>
    <mergeCell ref="BS261:BS262"/>
    <mergeCell ref="BT261:BT262"/>
    <mergeCell ref="BU261:BU262"/>
    <mergeCell ref="H259:H260"/>
    <mergeCell ref="I259:L260"/>
    <mergeCell ref="AF259:AG260"/>
    <mergeCell ref="AH259:AI260"/>
    <mergeCell ref="AJ259:AK260"/>
    <mergeCell ref="AL259:AM260"/>
    <mergeCell ref="BF259:BF260"/>
    <mergeCell ref="BG259:BJ260"/>
    <mergeCell ref="BK259:BN260"/>
    <mergeCell ref="BO259:BO260"/>
    <mergeCell ref="BP259:BP260"/>
    <mergeCell ref="BQ259:BQ260"/>
    <mergeCell ref="AH254:AI254"/>
    <mergeCell ref="AJ254:AK254"/>
    <mergeCell ref="AL254:AM254"/>
    <mergeCell ref="Z257:AB258"/>
    <mergeCell ref="AC257:AE258"/>
    <mergeCell ref="AF257:AG258"/>
    <mergeCell ref="AH257:AI258"/>
    <mergeCell ref="AJ257:AK258"/>
    <mergeCell ref="BF257:BF258"/>
    <mergeCell ref="BG257:BJ258"/>
    <mergeCell ref="BK257:BN258"/>
    <mergeCell ref="BO257:BO258"/>
    <mergeCell ref="AL257:AM258"/>
    <mergeCell ref="BK255:BN256"/>
    <mergeCell ref="BO255:BO256"/>
    <mergeCell ref="AL255:AM256"/>
    <mergeCell ref="BF255:BF256"/>
    <mergeCell ref="BG255:BJ256"/>
    <mergeCell ref="AC254:AE254"/>
    <mergeCell ref="AH255:AI256"/>
    <mergeCell ref="AJ255:AK256"/>
    <mergeCell ref="AC259:AE260"/>
    <mergeCell ref="BG254:BJ254"/>
    <mergeCell ref="BK254:BN254"/>
    <mergeCell ref="BO167:BO168"/>
    <mergeCell ref="BO169:BO170"/>
    <mergeCell ref="BO171:BO172"/>
    <mergeCell ref="BO173:BO174"/>
    <mergeCell ref="CR175:CR176"/>
    <mergeCell ref="CH183:CH184"/>
    <mergeCell ref="CI181:CL182"/>
    <mergeCell ref="AJ181:AK182"/>
    <mergeCell ref="AL181:AM182"/>
    <mergeCell ref="BF181:BF182"/>
    <mergeCell ref="BO181:BO182"/>
    <mergeCell ref="BP181:BP182"/>
    <mergeCell ref="BU181:BU182"/>
    <mergeCell ref="CF181:CF182"/>
    <mergeCell ref="CH181:CH182"/>
    <mergeCell ref="CM181:CP182"/>
    <mergeCell ref="BU183:BU184"/>
    <mergeCell ref="CF183:CF184"/>
    <mergeCell ref="BK183:BN184"/>
    <mergeCell ref="BO183:BO184"/>
    <mergeCell ref="BP183:BP184"/>
    <mergeCell ref="BT183:BT184"/>
    <mergeCell ref="BQ167:BQ168"/>
    <mergeCell ref="BQ183:BQ184"/>
    <mergeCell ref="BK181:BN182"/>
    <mergeCell ref="CH167:CH168"/>
    <mergeCell ref="CI171:CL172"/>
    <mergeCell ref="CH171:CH172"/>
    <mergeCell ref="BQ169:BQ170"/>
    <mergeCell ref="BQ171:BQ172"/>
    <mergeCell ref="AL177:AM178"/>
    <mergeCell ref="BK173:BN174"/>
    <mergeCell ref="Z249:AB250"/>
    <mergeCell ref="AC249:AE250"/>
    <mergeCell ref="Z245:AB246"/>
    <mergeCell ref="AC245:AE246"/>
    <mergeCell ref="AF245:AG246"/>
    <mergeCell ref="AH245:AI246"/>
    <mergeCell ref="BG247:BJ248"/>
    <mergeCell ref="BK247:BN248"/>
    <mergeCell ref="AF249:AG250"/>
    <mergeCell ref="BG205:BJ206"/>
    <mergeCell ref="BK227:BN228"/>
    <mergeCell ref="BF249:BF250"/>
    <mergeCell ref="BG249:BJ250"/>
    <mergeCell ref="BK249:BN250"/>
    <mergeCell ref="BO249:BO250"/>
    <mergeCell ref="BK251:BN252"/>
    <mergeCell ref="BK253:BN253"/>
    <mergeCell ref="AC253:AE253"/>
    <mergeCell ref="AC251:AE252"/>
    <mergeCell ref="Z247:AB248"/>
    <mergeCell ref="AC247:AE248"/>
    <mergeCell ref="BF251:BF252"/>
    <mergeCell ref="BG251:BJ252"/>
    <mergeCell ref="AF247:AG248"/>
    <mergeCell ref="AF236:AG237"/>
    <mergeCell ref="AJ240:AK241"/>
    <mergeCell ref="AF251:AG252"/>
    <mergeCell ref="AH249:AI250"/>
    <mergeCell ref="BF243:BF244"/>
    <mergeCell ref="BG243:BJ244"/>
    <mergeCell ref="AH223:AI224"/>
    <mergeCell ref="AF225:AG226"/>
    <mergeCell ref="BP175:BP176"/>
    <mergeCell ref="BP190:BP191"/>
    <mergeCell ref="R243:V244"/>
    <mergeCell ref="Z196:AB197"/>
    <mergeCell ref="Z214:AB215"/>
    <mergeCell ref="R175:V176"/>
    <mergeCell ref="R181:V182"/>
    <mergeCell ref="AC242:AE242"/>
    <mergeCell ref="AC234:AE235"/>
    <mergeCell ref="AC236:AE237"/>
    <mergeCell ref="Z232:AB233"/>
    <mergeCell ref="AC199:AE200"/>
    <mergeCell ref="Z216:AB217"/>
    <mergeCell ref="Z203:AB204"/>
    <mergeCell ref="Z207:AB208"/>
    <mergeCell ref="Z210:AB211"/>
    <mergeCell ref="W238:Y239"/>
    <mergeCell ref="BO179:BO180"/>
    <mergeCell ref="Z238:AB239"/>
    <mergeCell ref="BK196:BN197"/>
    <mergeCell ref="BG179:BJ180"/>
    <mergeCell ref="BK177:BN178"/>
    <mergeCell ref="BO177:BO178"/>
    <mergeCell ref="BG196:BJ197"/>
    <mergeCell ref="BG181:BJ182"/>
    <mergeCell ref="BP177:BP178"/>
    <mergeCell ref="BK175:BN176"/>
    <mergeCell ref="BO175:BO176"/>
    <mergeCell ref="BF179:BF180"/>
    <mergeCell ref="BG187:BJ187"/>
    <mergeCell ref="BO185:BO186"/>
    <mergeCell ref="BO188:BO189"/>
    <mergeCell ref="W249:Y250"/>
    <mergeCell ref="M245:Q246"/>
    <mergeCell ref="R245:V246"/>
    <mergeCell ref="W245:Y246"/>
    <mergeCell ref="I249:L250"/>
    <mergeCell ref="M249:Q250"/>
    <mergeCell ref="I254:V254"/>
    <mergeCell ref="W254:Y254"/>
    <mergeCell ref="I212:L213"/>
    <mergeCell ref="W196:Y197"/>
    <mergeCell ref="M201:Q202"/>
    <mergeCell ref="M205:Q206"/>
    <mergeCell ref="I187:V187"/>
    <mergeCell ref="R214:V215"/>
    <mergeCell ref="I209:V209"/>
    <mergeCell ref="W251:Y252"/>
    <mergeCell ref="I194:L195"/>
    <mergeCell ref="M194:Q195"/>
    <mergeCell ref="R194:V195"/>
    <mergeCell ref="W194:Y195"/>
    <mergeCell ref="W231:Y231"/>
    <mergeCell ref="I232:L233"/>
    <mergeCell ref="R240:V241"/>
    <mergeCell ref="W187:Y187"/>
    <mergeCell ref="R223:V224"/>
    <mergeCell ref="M207:Q208"/>
    <mergeCell ref="M203:Q204"/>
    <mergeCell ref="M199:Q200"/>
    <mergeCell ref="R201:V202"/>
    <mergeCell ref="R188:V189"/>
    <mergeCell ref="R190:V191"/>
    <mergeCell ref="M192:Q193"/>
    <mergeCell ref="H190:H191"/>
    <mergeCell ref="H192:H193"/>
    <mergeCell ref="H194:H195"/>
    <mergeCell ref="R225:V226"/>
    <mergeCell ref="R218:V219"/>
    <mergeCell ref="R221:V222"/>
    <mergeCell ref="M223:Q224"/>
    <mergeCell ref="I231:V231"/>
    <mergeCell ref="AF12:AG12"/>
    <mergeCell ref="H283:AD283"/>
    <mergeCell ref="H25:X27"/>
    <mergeCell ref="AF254:AG254"/>
    <mergeCell ref="AF238:AG239"/>
    <mergeCell ref="AF190:AG191"/>
    <mergeCell ref="H179:H180"/>
    <mergeCell ref="I179:L180"/>
    <mergeCell ref="M179:Q180"/>
    <mergeCell ref="M255:Q256"/>
    <mergeCell ref="R255:V256"/>
    <mergeCell ref="W255:Y256"/>
    <mergeCell ref="Z255:AB256"/>
    <mergeCell ref="AC255:AE256"/>
    <mergeCell ref="AF255:AG256"/>
    <mergeCell ref="H35:K35"/>
    <mergeCell ref="L35:P35"/>
    <mergeCell ref="Q35:U35"/>
    <mergeCell ref="V35:Z35"/>
    <mergeCell ref="AA35:AC35"/>
    <mergeCell ref="V32:Z32"/>
    <mergeCell ref="AA32:AC32"/>
    <mergeCell ref="H183:H184"/>
    <mergeCell ref="I183:L184"/>
    <mergeCell ref="Q31:U31"/>
    <mergeCell ref="V31:Z31"/>
    <mergeCell ref="AA31:AC31"/>
    <mergeCell ref="L32:P32"/>
    <mergeCell ref="M257:Q258"/>
    <mergeCell ref="I218:L219"/>
    <mergeCell ref="W225:Y226"/>
    <mergeCell ref="W227:Y228"/>
    <mergeCell ref="Z12:AA12"/>
    <mergeCell ref="Z212:AB213"/>
    <mergeCell ref="M196:Q197"/>
    <mergeCell ref="R196:V197"/>
    <mergeCell ref="R205:V206"/>
    <mergeCell ref="V38:Z38"/>
    <mergeCell ref="AA38:AC38"/>
    <mergeCell ref="H126:T126"/>
    <mergeCell ref="H124:T124"/>
    <mergeCell ref="H125:T125"/>
    <mergeCell ref="H71:T71"/>
    <mergeCell ref="H74:T74"/>
    <mergeCell ref="H73:T73"/>
    <mergeCell ref="L36:P36"/>
    <mergeCell ref="Z194:AB195"/>
    <mergeCell ref="I192:L193"/>
    <mergeCell ref="H38:K38"/>
    <mergeCell ref="Q36:U36"/>
    <mergeCell ref="H177:H178"/>
    <mergeCell ref="I177:L178"/>
    <mergeCell ref="M177:Q178"/>
    <mergeCell ref="R177:V178"/>
    <mergeCell ref="Z254:AB254"/>
    <mergeCell ref="H196:H197"/>
    <mergeCell ref="L33:P33"/>
    <mergeCell ref="Q33:U33"/>
    <mergeCell ref="M183:Q184"/>
    <mergeCell ref="R183:V184"/>
    <mergeCell ref="BK171:BN172"/>
    <mergeCell ref="AL171:AM172"/>
    <mergeCell ref="AL173:AM174"/>
    <mergeCell ref="Z177:AB177"/>
    <mergeCell ref="W178:Y178"/>
    <mergeCell ref="Z178:AB178"/>
    <mergeCell ref="AJ179:AK180"/>
    <mergeCell ref="AL179:AM180"/>
    <mergeCell ref="BS188:BS189"/>
    <mergeCell ref="BR188:BR189"/>
    <mergeCell ref="BK179:BN180"/>
    <mergeCell ref="BO196:BO197"/>
    <mergeCell ref="BT188:BT189"/>
    <mergeCell ref="L34:P34"/>
    <mergeCell ref="W130:Y130"/>
    <mergeCell ref="Z130:AB130"/>
    <mergeCell ref="W131:Y131"/>
    <mergeCell ref="Z131:AB131"/>
    <mergeCell ref="U130:V130"/>
    <mergeCell ref="U131:V131"/>
    <mergeCell ref="U132:V132"/>
    <mergeCell ref="W132:Y132"/>
    <mergeCell ref="Z132:AB132"/>
    <mergeCell ref="H106:U106"/>
    <mergeCell ref="H107:U122"/>
    <mergeCell ref="H59:I59"/>
    <mergeCell ref="H129:M129"/>
    <mergeCell ref="AA105:AH105"/>
    <mergeCell ref="AA104:AH104"/>
    <mergeCell ref="AA107:AB107"/>
    <mergeCell ref="AC107:AH107"/>
    <mergeCell ref="V36:Z36"/>
    <mergeCell ref="AA36:AC36"/>
    <mergeCell ref="H37:K37"/>
    <mergeCell ref="H130:M130"/>
    <mergeCell ref="H131:M131"/>
    <mergeCell ref="AA118:AH118"/>
    <mergeCell ref="AA119:AH119"/>
    <mergeCell ref="H58:T58"/>
    <mergeCell ref="H61:T61"/>
    <mergeCell ref="H36:K36"/>
    <mergeCell ref="L37:P37"/>
    <mergeCell ref="Q37:U37"/>
    <mergeCell ref="V37:Z37"/>
    <mergeCell ref="AA37:AC37"/>
    <mergeCell ref="J95:O95"/>
    <mergeCell ref="H72:T72"/>
    <mergeCell ref="H88:T88"/>
    <mergeCell ref="H75:T75"/>
    <mergeCell ref="H76:T76"/>
    <mergeCell ref="H82:T82"/>
    <mergeCell ref="H60:I60"/>
    <mergeCell ref="H95:I95"/>
    <mergeCell ref="H52:X54"/>
    <mergeCell ref="BP216:BP217"/>
    <mergeCell ref="BQ199:BQ200"/>
    <mergeCell ref="BQ201:BQ202"/>
    <mergeCell ref="BF183:BF184"/>
    <mergeCell ref="BG183:BJ184"/>
    <mergeCell ref="BQ173:BQ174"/>
    <mergeCell ref="BQ175:BQ176"/>
    <mergeCell ref="BT171:BT172"/>
    <mergeCell ref="AJ245:AK246"/>
    <mergeCell ref="AH242:AI242"/>
    <mergeCell ref="AJ242:AK242"/>
    <mergeCell ref="BQ243:BQ244"/>
    <mergeCell ref="AL232:AM233"/>
    <mergeCell ref="BG242:BJ242"/>
    <mergeCell ref="AL234:AM235"/>
    <mergeCell ref="AL236:AM237"/>
    <mergeCell ref="AL238:AM239"/>
    <mergeCell ref="AL240:AM241"/>
    <mergeCell ref="BS243:BS244"/>
    <mergeCell ref="BS234:BS235"/>
    <mergeCell ref="BS236:BS237"/>
    <mergeCell ref="BT245:BT246"/>
    <mergeCell ref="BP223:BP224"/>
    <mergeCell ref="BP225:BP226"/>
    <mergeCell ref="BP227:BP228"/>
    <mergeCell ref="BP229:BP230"/>
    <mergeCell ref="BS210:BS211"/>
    <mergeCell ref="BS212:BS213"/>
    <mergeCell ref="BS214:BS215"/>
    <mergeCell ref="BP179:BP180"/>
    <mergeCell ref="BQ177:BQ178"/>
    <mergeCell ref="BQ179:BQ180"/>
    <mergeCell ref="BP232:BP233"/>
    <mergeCell ref="BP234:BP235"/>
    <mergeCell ref="BP236:BP237"/>
    <mergeCell ref="BK242:BN242"/>
    <mergeCell ref="BP251:BP252"/>
    <mergeCell ref="BO236:BO237"/>
    <mergeCell ref="BO238:BO239"/>
    <mergeCell ref="BF247:BF248"/>
    <mergeCell ref="AH251:AI252"/>
    <mergeCell ref="BT251:BT252"/>
    <mergeCell ref="BF245:BF246"/>
    <mergeCell ref="BG245:BJ246"/>
    <mergeCell ref="BR232:BR233"/>
    <mergeCell ref="AL243:AM244"/>
    <mergeCell ref="BG253:BJ253"/>
    <mergeCell ref="BO232:BO233"/>
    <mergeCell ref="BO234:BO235"/>
    <mergeCell ref="BT234:BT235"/>
    <mergeCell ref="BT236:BT237"/>
    <mergeCell ref="BT238:BT239"/>
    <mergeCell ref="BT232:BT233"/>
    <mergeCell ref="AL253:AM253"/>
    <mergeCell ref="AH247:AI248"/>
    <mergeCell ref="AJ247:AK248"/>
    <mergeCell ref="AJ249:AK250"/>
    <mergeCell ref="AL249:AM250"/>
    <mergeCell ref="BO251:BO252"/>
    <mergeCell ref="AJ251:AK252"/>
    <mergeCell ref="AL247:AM248"/>
    <mergeCell ref="BQ232:BQ233"/>
    <mergeCell ref="AJ236:AK237"/>
    <mergeCell ref="AJ238:AK239"/>
    <mergeCell ref="BR221:BR222"/>
    <mergeCell ref="BR223:BR224"/>
    <mergeCell ref="BR225:BR226"/>
    <mergeCell ref="BR227:BR228"/>
    <mergeCell ref="BR229:BR230"/>
    <mergeCell ref="BS221:BS222"/>
    <mergeCell ref="BS223:BS224"/>
    <mergeCell ref="BS225:BS226"/>
    <mergeCell ref="BS227:BS228"/>
    <mergeCell ref="BT223:BT224"/>
    <mergeCell ref="BQ247:BQ248"/>
    <mergeCell ref="BQ238:BQ239"/>
    <mergeCell ref="BQ240:BQ241"/>
    <mergeCell ref="BQ245:BQ246"/>
    <mergeCell ref="BR240:BR241"/>
    <mergeCell ref="BR243:BR244"/>
    <mergeCell ref="BQ221:BQ222"/>
    <mergeCell ref="BQ229:BQ230"/>
    <mergeCell ref="BT240:BT241"/>
    <mergeCell ref="BT243:BT244"/>
    <mergeCell ref="BT225:BT226"/>
    <mergeCell ref="BT227:BT228"/>
    <mergeCell ref="BT229:BT230"/>
    <mergeCell ref="AF243:AG244"/>
    <mergeCell ref="AH225:AI226"/>
    <mergeCell ref="AH227:AI228"/>
    <mergeCell ref="AF242:AG242"/>
    <mergeCell ref="AH234:AI235"/>
    <mergeCell ref="AL251:AM252"/>
    <mergeCell ref="AL245:AM246"/>
    <mergeCell ref="AJ243:AK244"/>
    <mergeCell ref="AH240:AI241"/>
    <mergeCell ref="AH243:AI244"/>
    <mergeCell ref="BF232:BF233"/>
    <mergeCell ref="BG232:BJ233"/>
    <mergeCell ref="BF234:BF235"/>
    <mergeCell ref="BG234:BJ235"/>
    <mergeCell ref="BF236:BF237"/>
    <mergeCell ref="BG236:BJ237"/>
    <mergeCell ref="BF238:BF239"/>
    <mergeCell ref="BG238:BJ239"/>
    <mergeCell ref="BG240:BJ241"/>
    <mergeCell ref="BG227:BJ228"/>
    <mergeCell ref="BF225:BF226"/>
    <mergeCell ref="BG225:BJ226"/>
    <mergeCell ref="BP218:BP219"/>
    <mergeCell ref="BP221:BP222"/>
    <mergeCell ref="BP196:BP197"/>
    <mergeCell ref="BS232:BS233"/>
    <mergeCell ref="BQ251:BQ252"/>
    <mergeCell ref="BK229:BN230"/>
    <mergeCell ref="BO240:BO241"/>
    <mergeCell ref="BK232:BN233"/>
    <mergeCell ref="BK238:BN239"/>
    <mergeCell ref="BK240:BN241"/>
    <mergeCell ref="BK243:BN244"/>
    <mergeCell ref="BO243:BO244"/>
    <mergeCell ref="BO247:BO248"/>
    <mergeCell ref="BP247:BP248"/>
    <mergeCell ref="BK234:BN235"/>
    <mergeCell ref="BK231:BN231"/>
    <mergeCell ref="BR247:BR248"/>
    <mergeCell ref="BS247:BS248"/>
    <mergeCell ref="BR210:BR211"/>
    <mergeCell ref="BR212:BR213"/>
    <mergeCell ref="BO221:BO222"/>
    <mergeCell ref="BO223:BO224"/>
    <mergeCell ref="BO225:BO226"/>
    <mergeCell ref="BR196:BR197"/>
    <mergeCell ref="BS196:BS197"/>
    <mergeCell ref="BK220:BN220"/>
    <mergeCell ref="BS238:BS239"/>
    <mergeCell ref="BS240:BS241"/>
    <mergeCell ref="BQ203:BQ204"/>
    <mergeCell ref="BQ196:BQ197"/>
    <mergeCell ref="BO199:BO200"/>
    <mergeCell ref="BO201:BO202"/>
    <mergeCell ref="BS199:BS200"/>
    <mergeCell ref="BS201:BS202"/>
    <mergeCell ref="BU188:BU189"/>
    <mergeCell ref="BU199:BU200"/>
    <mergeCell ref="BT201:BT202"/>
    <mergeCell ref="BT203:BT204"/>
    <mergeCell ref="BQ214:BQ215"/>
    <mergeCell ref="BQ216:BQ217"/>
    <mergeCell ref="BQ218:BQ219"/>
    <mergeCell ref="BU210:BU211"/>
    <mergeCell ref="BU212:BU213"/>
    <mergeCell ref="BT196:BT197"/>
    <mergeCell ref="BU196:BU197"/>
    <mergeCell ref="BT216:BT217"/>
    <mergeCell ref="BT218:BT219"/>
    <mergeCell ref="BU201:BU202"/>
    <mergeCell ref="BU203:BU204"/>
    <mergeCell ref="BU205:BU206"/>
    <mergeCell ref="BU207:BU208"/>
    <mergeCell ref="BT205:BT206"/>
    <mergeCell ref="BT207:BT208"/>
    <mergeCell ref="BR218:BR219"/>
    <mergeCell ref="BU190:BU191"/>
    <mergeCell ref="CH169:CH170"/>
    <mergeCell ref="CF167:CF168"/>
    <mergeCell ref="BU185:BU186"/>
    <mergeCell ref="BS175:BS176"/>
    <mergeCell ref="BT175:BT176"/>
    <mergeCell ref="BU175:BU176"/>
    <mergeCell ref="BU179:BU180"/>
    <mergeCell ref="BS177:BS178"/>
    <mergeCell ref="BT177:BT178"/>
    <mergeCell ref="BU177:BU178"/>
    <mergeCell ref="BS179:BS180"/>
    <mergeCell ref="BT179:BT180"/>
    <mergeCell ref="BS167:BS168"/>
    <mergeCell ref="BT167:BT168"/>
    <mergeCell ref="BU167:BU168"/>
    <mergeCell ref="BS169:BS170"/>
    <mergeCell ref="BS171:BS172"/>
    <mergeCell ref="CF185:CF186"/>
    <mergeCell ref="BT185:BT186"/>
    <mergeCell ref="BS181:BS182"/>
    <mergeCell ref="BT181:BT182"/>
    <mergeCell ref="BU171:BU172"/>
    <mergeCell ref="BT173:BT174"/>
    <mergeCell ref="BU173:BU174"/>
    <mergeCell ref="BU169:BU170"/>
    <mergeCell ref="BT169:BT170"/>
    <mergeCell ref="BS173:BS174"/>
    <mergeCell ref="BS185:BS186"/>
    <mergeCell ref="CQ173:CQ174"/>
    <mergeCell ref="CH175:CH176"/>
    <mergeCell ref="CH185:CH186"/>
    <mergeCell ref="CI185:CL186"/>
    <mergeCell ref="CM185:CP186"/>
    <mergeCell ref="CR181:CR182"/>
    <mergeCell ref="CI175:CL176"/>
    <mergeCell ref="CM175:CP176"/>
    <mergeCell ref="CF169:CF170"/>
    <mergeCell ref="CF171:CF172"/>
    <mergeCell ref="CF173:CF174"/>
    <mergeCell ref="CF177:CF178"/>
    <mergeCell ref="CF175:CF176"/>
    <mergeCell ref="CF179:CF180"/>
    <mergeCell ref="CR169:CR170"/>
    <mergeCell ref="CR171:CR172"/>
    <mergeCell ref="CQ171:CQ172"/>
    <mergeCell ref="CM171:CP172"/>
    <mergeCell ref="CM177:CP178"/>
    <mergeCell ref="CR177:CR178"/>
    <mergeCell ref="CR179:CR180"/>
    <mergeCell ref="CM173:CP174"/>
    <mergeCell ref="CI173:CL174"/>
    <mergeCell ref="CH173:CH174"/>
    <mergeCell ref="CM183:CP184"/>
    <mergeCell ref="CQ183:CQ184"/>
    <mergeCell ref="CR183:CR184"/>
    <mergeCell ref="CQ179:CQ180"/>
    <mergeCell ref="CR173:CR174"/>
    <mergeCell ref="CQ169:CQ170"/>
    <mergeCell ref="CM169:CP170"/>
    <mergeCell ref="CI169:CL170"/>
    <mergeCell ref="BT257:BT258"/>
    <mergeCell ref="CH255:CH256"/>
    <mergeCell ref="CI255:CL256"/>
    <mergeCell ref="CM255:CP256"/>
    <mergeCell ref="CQ247:CQ248"/>
    <mergeCell ref="CR247:CR248"/>
    <mergeCell ref="CQ255:CQ256"/>
    <mergeCell ref="CH207:CH208"/>
    <mergeCell ref="CI207:CL208"/>
    <mergeCell ref="CM207:CP208"/>
    <mergeCell ref="CQ207:CQ208"/>
    <mergeCell ref="CR207:CR208"/>
    <mergeCell ref="CR219:CR220"/>
    <mergeCell ref="CH215:CH216"/>
    <mergeCell ref="CH209:CH210"/>
    <mergeCell ref="CI209:CL210"/>
    <mergeCell ref="CI183:CL184"/>
    <mergeCell ref="BU257:BU258"/>
    <mergeCell ref="CH243:CH244"/>
    <mergeCell ref="CI243:CL244"/>
    <mergeCell ref="CM243:CP244"/>
    <mergeCell ref="CQ243:CQ244"/>
    <mergeCell ref="CR243:CR244"/>
    <mergeCell ref="CH237:CH238"/>
    <mergeCell ref="CI237:CL238"/>
    <mergeCell ref="CM237:CP238"/>
    <mergeCell ref="CM187:CP188"/>
    <mergeCell ref="CQ187:CQ188"/>
    <mergeCell ref="CQ185:CQ186"/>
    <mergeCell ref="BU238:BU239"/>
    <mergeCell ref="CQ213:CQ214"/>
    <mergeCell ref="CR213:CR214"/>
    <mergeCell ref="CQ177:CQ178"/>
    <mergeCell ref="CH179:CH180"/>
    <mergeCell ref="CI179:CL180"/>
    <mergeCell ref="CM179:CP180"/>
    <mergeCell ref="CR187:CR188"/>
    <mergeCell ref="CQ175:CQ176"/>
    <mergeCell ref="CR185:CR186"/>
    <mergeCell ref="CH193:CH194"/>
    <mergeCell ref="CI193:CL194"/>
    <mergeCell ref="CM193:CP194"/>
    <mergeCell ref="CH195:CH196"/>
    <mergeCell ref="CI195:CL196"/>
    <mergeCell ref="CM195:CP196"/>
    <mergeCell ref="CH197:CH198"/>
    <mergeCell ref="CQ181:CQ182"/>
    <mergeCell ref="CH187:CH188"/>
    <mergeCell ref="CI187:CL188"/>
    <mergeCell ref="CQ189:CQ190"/>
    <mergeCell ref="CR189:CR190"/>
    <mergeCell ref="CQ191:CQ192"/>
    <mergeCell ref="CR191:CR192"/>
    <mergeCell ref="CQ193:CQ194"/>
    <mergeCell ref="CR193:CR194"/>
    <mergeCell ref="CM209:CP210"/>
    <mergeCell ref="CQ209:CQ210"/>
    <mergeCell ref="CR209:CR210"/>
    <mergeCell ref="CQ245:CQ246"/>
    <mergeCell ref="CR245:CR246"/>
    <mergeCell ref="CH247:CH248"/>
    <mergeCell ref="CI247:CL248"/>
    <mergeCell ref="CM247:CP248"/>
    <mergeCell ref="CH211:CH212"/>
    <mergeCell ref="CI211:CL212"/>
    <mergeCell ref="CM211:CP212"/>
    <mergeCell ref="CQ211:CQ212"/>
    <mergeCell ref="CR211:CR212"/>
    <mergeCell ref="CH213:CH214"/>
    <mergeCell ref="CI213:CL214"/>
    <mergeCell ref="CM213:CP214"/>
    <mergeCell ref="CR167:CR168"/>
    <mergeCell ref="CQ167:CQ168"/>
    <mergeCell ref="CM167:CP168"/>
    <mergeCell ref="CI167:CL168"/>
    <mergeCell ref="CM203:CP204"/>
    <mergeCell ref="CQ195:CQ196"/>
    <mergeCell ref="CR195:CR196"/>
    <mergeCell ref="CQ197:CQ198"/>
    <mergeCell ref="CR197:CR198"/>
    <mergeCell ref="CM201:CP202"/>
    <mergeCell ref="CQ201:CQ202"/>
    <mergeCell ref="CR201:CR202"/>
    <mergeCell ref="CH203:CH204"/>
    <mergeCell ref="CH201:CH202"/>
    <mergeCell ref="CH177:CH178"/>
    <mergeCell ref="CI177:CL178"/>
    <mergeCell ref="CQ205:CQ206"/>
    <mergeCell ref="CR205:CR206"/>
    <mergeCell ref="CH199:CH200"/>
    <mergeCell ref="CI199:CL200"/>
    <mergeCell ref="CM199:CP200"/>
    <mergeCell ref="CQ199:CQ200"/>
    <mergeCell ref="CR199:CR200"/>
    <mergeCell ref="CI205:CL206"/>
    <mergeCell ref="CM205:CP206"/>
    <mergeCell ref="CI201:CL202"/>
    <mergeCell ref="CI203:CL204"/>
    <mergeCell ref="CH205:CH206"/>
    <mergeCell ref="CH189:CH190"/>
    <mergeCell ref="CI189:CL190"/>
    <mergeCell ref="CM189:CP190"/>
    <mergeCell ref="CH191:CH192"/>
    <mergeCell ref="CI191:CL192"/>
    <mergeCell ref="CM191:CP192"/>
    <mergeCell ref="CI197:CL198"/>
    <mergeCell ref="CM197:CP198"/>
    <mergeCell ref="CQ203:CQ204"/>
    <mergeCell ref="CR203:CR204"/>
    <mergeCell ref="CR215:CR216"/>
    <mergeCell ref="CH223:CH224"/>
    <mergeCell ref="CI223:CL224"/>
    <mergeCell ref="CM223:CP224"/>
    <mergeCell ref="CQ223:CQ224"/>
    <mergeCell ref="CR223:CR224"/>
    <mergeCell ref="CH225:CH226"/>
    <mergeCell ref="CI225:CL226"/>
    <mergeCell ref="CM225:CP226"/>
    <mergeCell ref="CQ225:CQ226"/>
    <mergeCell ref="CR225:CR226"/>
    <mergeCell ref="CH227:CH228"/>
    <mergeCell ref="CI227:CL228"/>
    <mergeCell ref="CM227:CP228"/>
    <mergeCell ref="CH221:CH222"/>
    <mergeCell ref="CI221:CL222"/>
    <mergeCell ref="CM221:CP222"/>
    <mergeCell ref="CQ221:CQ222"/>
    <mergeCell ref="CR221:CR222"/>
    <mergeCell ref="CH217:CH218"/>
    <mergeCell ref="CI215:CL216"/>
    <mergeCell ref="CM215:CP216"/>
    <mergeCell ref="CI217:CL218"/>
    <mergeCell ref="CM217:CP218"/>
    <mergeCell ref="CQ237:CQ238"/>
    <mergeCell ref="CR237:CR238"/>
    <mergeCell ref="CF211:CF212"/>
    <mergeCell ref="CF239:CF240"/>
    <mergeCell ref="CF241:CF242"/>
    <mergeCell ref="CQ227:CQ228"/>
    <mergeCell ref="CR227:CR228"/>
    <mergeCell ref="CF219:CF220"/>
    <mergeCell ref="CF221:CF222"/>
    <mergeCell ref="CF223:CF224"/>
    <mergeCell ref="CF225:CF226"/>
    <mergeCell ref="CF227:CF228"/>
    <mergeCell ref="CF229:CF230"/>
    <mergeCell ref="BS229:BS230"/>
    <mergeCell ref="CQ231:CQ232"/>
    <mergeCell ref="CR231:CR232"/>
    <mergeCell ref="CH233:CH234"/>
    <mergeCell ref="CI233:CL234"/>
    <mergeCell ref="CM233:CP234"/>
    <mergeCell ref="CQ233:CQ234"/>
    <mergeCell ref="CR233:CR234"/>
    <mergeCell ref="CH235:CH236"/>
    <mergeCell ref="CI235:CL236"/>
    <mergeCell ref="CQ235:CQ236"/>
    <mergeCell ref="CR235:CR236"/>
    <mergeCell ref="CQ219:CQ220"/>
    <mergeCell ref="CQ229:CQ230"/>
    <mergeCell ref="CR229:CR230"/>
    <mergeCell ref="BU240:BU241"/>
    <mergeCell ref="BU229:BU230"/>
    <mergeCell ref="BU232:BU233"/>
    <mergeCell ref="CI219:CL220"/>
    <mergeCell ref="CF231:CF232"/>
    <mergeCell ref="CF233:CF234"/>
    <mergeCell ref="BF169:BF170"/>
    <mergeCell ref="BG169:BJ170"/>
    <mergeCell ref="BF177:BF178"/>
    <mergeCell ref="BG177:BJ178"/>
    <mergeCell ref="BG212:BJ213"/>
    <mergeCell ref="AL169:AM170"/>
    <mergeCell ref="AL167:AM168"/>
    <mergeCell ref="BK169:BN170"/>
    <mergeCell ref="AJ221:AK222"/>
    <mergeCell ref="AC196:AE197"/>
    <mergeCell ref="AL229:AM230"/>
    <mergeCell ref="AL220:AM220"/>
    <mergeCell ref="AJ220:AK220"/>
    <mergeCell ref="AL210:AM211"/>
    <mergeCell ref="AL212:AM213"/>
    <mergeCell ref="AL214:AM215"/>
    <mergeCell ref="AL216:AM217"/>
    <mergeCell ref="AL218:AM219"/>
    <mergeCell ref="AL209:AM209"/>
    <mergeCell ref="AJ198:AK198"/>
    <mergeCell ref="AL223:AM224"/>
    <mergeCell ref="AL190:AM191"/>
    <mergeCell ref="AF194:AG195"/>
    <mergeCell ref="AH194:AI195"/>
    <mergeCell ref="AJ177:AK178"/>
    <mergeCell ref="BG171:BJ172"/>
    <mergeCell ref="BF173:BF174"/>
    <mergeCell ref="BG173:BJ174"/>
    <mergeCell ref="AL175:AM176"/>
    <mergeCell ref="BF175:BF176"/>
    <mergeCell ref="AJ212:AK213"/>
    <mergeCell ref="AJ214:AK215"/>
    <mergeCell ref="AL166:AM166"/>
    <mergeCell ref="AJ167:AK168"/>
    <mergeCell ref="AJ169:AK170"/>
    <mergeCell ref="AJ171:AK172"/>
    <mergeCell ref="AJ166:AK166"/>
    <mergeCell ref="BU225:BU226"/>
    <mergeCell ref="BU227:BU228"/>
    <mergeCell ref="BT210:BT211"/>
    <mergeCell ref="BT212:BT213"/>
    <mergeCell ref="BT214:BT215"/>
    <mergeCell ref="BU221:BU222"/>
    <mergeCell ref="BU223:BU224"/>
    <mergeCell ref="BQ181:BQ182"/>
    <mergeCell ref="BS183:BS184"/>
    <mergeCell ref="BQ223:BQ224"/>
    <mergeCell ref="BQ225:BQ226"/>
    <mergeCell ref="BR207:BR208"/>
    <mergeCell ref="BQ205:BQ206"/>
    <mergeCell ref="BQ207:BQ208"/>
    <mergeCell ref="BQ188:BQ189"/>
    <mergeCell ref="BQ210:BQ211"/>
    <mergeCell ref="BQ212:BQ213"/>
    <mergeCell ref="BS203:BS204"/>
    <mergeCell ref="BS205:BS206"/>
    <mergeCell ref="BS207:BS208"/>
    <mergeCell ref="BQ185:BQ186"/>
    <mergeCell ref="BR214:BR215"/>
    <mergeCell ref="BR216:BR217"/>
    <mergeCell ref="BT199:BT200"/>
    <mergeCell ref="BR205:BR206"/>
    <mergeCell ref="BG216:BJ217"/>
    <mergeCell ref="AJ210:AK211"/>
    <mergeCell ref="BG229:BJ230"/>
    <mergeCell ref="AJ194:AK195"/>
    <mergeCell ref="AL194:AM195"/>
    <mergeCell ref="AC201:AE202"/>
    <mergeCell ref="AC203:AE204"/>
    <mergeCell ref="AC205:AE206"/>
    <mergeCell ref="AC207:AE208"/>
    <mergeCell ref="AC210:AE211"/>
    <mergeCell ref="AC212:AE213"/>
    <mergeCell ref="AJ173:AK174"/>
    <mergeCell ref="AJ185:AK186"/>
    <mergeCell ref="AJ188:AK189"/>
    <mergeCell ref="AJ199:AK200"/>
    <mergeCell ref="AJ201:AK202"/>
    <mergeCell ref="AJ203:AK204"/>
    <mergeCell ref="AJ205:AK206"/>
    <mergeCell ref="AJ207:AK208"/>
    <mergeCell ref="AC194:AE195"/>
    <mergeCell ref="AJ175:AK176"/>
    <mergeCell ref="AH212:AI213"/>
    <mergeCell ref="BG220:BJ220"/>
    <mergeCell ref="BF223:BF224"/>
    <mergeCell ref="BG223:BJ224"/>
    <mergeCell ref="AL185:AM186"/>
    <mergeCell ref="AL188:AM189"/>
    <mergeCell ref="AL199:AM200"/>
    <mergeCell ref="AL201:AM202"/>
    <mergeCell ref="AL203:AM204"/>
    <mergeCell ref="BG175:BJ176"/>
    <mergeCell ref="AC188:AE189"/>
    <mergeCell ref="BP167:BP168"/>
    <mergeCell ref="BP169:BP170"/>
    <mergeCell ref="BP171:BP172"/>
    <mergeCell ref="BP173:BP174"/>
    <mergeCell ref="BP185:BP186"/>
    <mergeCell ref="BP188:BP189"/>
    <mergeCell ref="BP199:BP200"/>
    <mergeCell ref="BP201:BP202"/>
    <mergeCell ref="BP203:BP204"/>
    <mergeCell ref="BP205:BP206"/>
    <mergeCell ref="BP207:BP208"/>
    <mergeCell ref="BP210:BP211"/>
    <mergeCell ref="BP212:BP213"/>
    <mergeCell ref="BP214:BP215"/>
    <mergeCell ref="BF185:BF186"/>
    <mergeCell ref="BG185:BJ186"/>
    <mergeCell ref="BF188:BF189"/>
    <mergeCell ref="BG188:BJ189"/>
    <mergeCell ref="BF199:BF200"/>
    <mergeCell ref="BG199:BJ200"/>
    <mergeCell ref="BF201:BF202"/>
    <mergeCell ref="BG201:BJ202"/>
    <mergeCell ref="BF203:BF204"/>
    <mergeCell ref="BG203:BJ204"/>
    <mergeCell ref="BG207:BJ208"/>
    <mergeCell ref="BF190:BF191"/>
    <mergeCell ref="BF192:BF193"/>
    <mergeCell ref="BF194:BF195"/>
    <mergeCell ref="BF196:BF197"/>
    <mergeCell ref="BK167:BN168"/>
    <mergeCell ref="BF167:BF168"/>
    <mergeCell ref="BG167:BJ168"/>
    <mergeCell ref="BO212:BO213"/>
    <mergeCell ref="BO214:BO215"/>
    <mergeCell ref="BK225:BN226"/>
    <mergeCell ref="BK209:BN209"/>
    <mergeCell ref="BK185:BN186"/>
    <mergeCell ref="BK188:BN189"/>
    <mergeCell ref="BK199:BN200"/>
    <mergeCell ref="BK201:BN202"/>
    <mergeCell ref="BK203:BN204"/>
    <mergeCell ref="BK205:BN206"/>
    <mergeCell ref="BK207:BN208"/>
    <mergeCell ref="BK210:BN211"/>
    <mergeCell ref="BK212:BN213"/>
    <mergeCell ref="BK218:BN219"/>
    <mergeCell ref="BK221:BN222"/>
    <mergeCell ref="BK214:BN215"/>
    <mergeCell ref="BK216:BN217"/>
    <mergeCell ref="BO205:BO206"/>
    <mergeCell ref="BO207:BO208"/>
    <mergeCell ref="BO210:BO211"/>
    <mergeCell ref="BK198:BN198"/>
    <mergeCell ref="BO216:BO217"/>
    <mergeCell ref="BO218:BO219"/>
    <mergeCell ref="BK223:BN224"/>
    <mergeCell ref="BK190:BN191"/>
    <mergeCell ref="BO190:BO191"/>
    <mergeCell ref="AF220:AG220"/>
    <mergeCell ref="AC225:AE226"/>
    <mergeCell ref="AC227:AE228"/>
    <mergeCell ref="AC229:AE230"/>
    <mergeCell ref="AL221:AM222"/>
    <mergeCell ref="AF218:AG219"/>
    <mergeCell ref="AC218:AE219"/>
    <mergeCell ref="AH218:AI219"/>
    <mergeCell ref="AH221:AI222"/>
    <mergeCell ref="BG221:BJ222"/>
    <mergeCell ref="AJ218:AK219"/>
    <mergeCell ref="AJ223:AK224"/>
    <mergeCell ref="AJ225:AK226"/>
    <mergeCell ref="AL225:AM226"/>
    <mergeCell ref="AL227:AM228"/>
    <mergeCell ref="BF229:BF230"/>
    <mergeCell ref="AJ229:AK230"/>
    <mergeCell ref="AF227:AG228"/>
    <mergeCell ref="AF229:AG230"/>
    <mergeCell ref="AJ227:AK228"/>
    <mergeCell ref="Z231:AB231"/>
    <mergeCell ref="AC231:AE231"/>
    <mergeCell ref="AF231:AG231"/>
    <mergeCell ref="AH231:AI231"/>
    <mergeCell ref="AJ231:AK231"/>
    <mergeCell ref="AH236:AI237"/>
    <mergeCell ref="BF216:BF217"/>
    <mergeCell ref="BF221:BF222"/>
    <mergeCell ref="AF223:AG224"/>
    <mergeCell ref="W214:Y215"/>
    <mergeCell ref="M214:Q215"/>
    <mergeCell ref="I210:L211"/>
    <mergeCell ref="W240:Y241"/>
    <mergeCell ref="W223:Y224"/>
    <mergeCell ref="AJ234:AK235"/>
    <mergeCell ref="Z209:AB209"/>
    <mergeCell ref="W210:Y211"/>
    <mergeCell ref="W212:Y213"/>
    <mergeCell ref="M216:Q217"/>
    <mergeCell ref="M212:Q213"/>
    <mergeCell ref="R210:V211"/>
    <mergeCell ref="AC214:AE215"/>
    <mergeCell ref="AC216:AE217"/>
    <mergeCell ref="I236:L237"/>
    <mergeCell ref="AH229:AI230"/>
    <mergeCell ref="BF218:BF219"/>
    <mergeCell ref="BF227:BF228"/>
    <mergeCell ref="AH210:AI211"/>
    <mergeCell ref="AH209:AI209"/>
    <mergeCell ref="AF210:AG211"/>
    <mergeCell ref="AC209:AE209"/>
    <mergeCell ref="W209:Y209"/>
    <mergeCell ref="BG209:BJ209"/>
    <mergeCell ref="BG198:BJ198"/>
    <mergeCell ref="BF210:BF211"/>
    <mergeCell ref="BG210:BJ211"/>
    <mergeCell ref="BF212:BF213"/>
    <mergeCell ref="H221:H222"/>
    <mergeCell ref="AH220:AI220"/>
    <mergeCell ref="AF198:AG198"/>
    <mergeCell ref="AH198:AI198"/>
    <mergeCell ref="AF203:AG204"/>
    <mergeCell ref="AJ216:AK217"/>
    <mergeCell ref="H199:H200"/>
    <mergeCell ref="H201:H202"/>
    <mergeCell ref="AC190:AE191"/>
    <mergeCell ref="I198:V198"/>
    <mergeCell ref="R207:V208"/>
    <mergeCell ref="W192:Y193"/>
    <mergeCell ref="Z192:AB193"/>
    <mergeCell ref="W207:Y208"/>
    <mergeCell ref="I199:L200"/>
    <mergeCell ref="I190:L191"/>
    <mergeCell ref="M190:Q191"/>
    <mergeCell ref="I201:L202"/>
    <mergeCell ref="I205:L206"/>
    <mergeCell ref="I207:L208"/>
    <mergeCell ref="AN218:AN219"/>
    <mergeCell ref="BG218:BJ219"/>
    <mergeCell ref="AH203:AI204"/>
    <mergeCell ref="AH205:AI206"/>
    <mergeCell ref="AH207:AI208"/>
    <mergeCell ref="BG214:BJ215"/>
    <mergeCell ref="AF192:AG193"/>
    <mergeCell ref="U331:X332"/>
    <mergeCell ref="H303:I304"/>
    <mergeCell ref="H305:I306"/>
    <mergeCell ref="M307:P308"/>
    <mergeCell ref="U313:X314"/>
    <mergeCell ref="AA317:AB318"/>
    <mergeCell ref="AH192:AI193"/>
    <mergeCell ref="AJ192:AK193"/>
    <mergeCell ref="Z205:AB206"/>
    <mergeCell ref="AF221:AG222"/>
    <mergeCell ref="Z240:AB241"/>
    <mergeCell ref="Z234:AB235"/>
    <mergeCell ref="AC238:AE239"/>
    <mergeCell ref="AC240:AE241"/>
    <mergeCell ref="Z236:AB237"/>
    <mergeCell ref="Z220:AB220"/>
    <mergeCell ref="Z227:AB228"/>
    <mergeCell ref="Z218:AB219"/>
    <mergeCell ref="Z221:AB222"/>
    <mergeCell ref="AF199:AG200"/>
    <mergeCell ref="AF201:AG202"/>
    <mergeCell ref="AF212:AG213"/>
    <mergeCell ref="AF214:AG215"/>
    <mergeCell ref="AF209:AG209"/>
    <mergeCell ref="H236:H237"/>
    <mergeCell ref="H240:H241"/>
    <mergeCell ref="W229:Y230"/>
    <mergeCell ref="R227:V228"/>
    <mergeCell ref="R229:V230"/>
    <mergeCell ref="Z223:AB224"/>
    <mergeCell ref="Z225:AB226"/>
    <mergeCell ref="W221:Y222"/>
    <mergeCell ref="H216:H217"/>
    <mergeCell ref="I216:L217"/>
    <mergeCell ref="H167:H168"/>
    <mergeCell ref="I167:L168"/>
    <mergeCell ref="H169:H170"/>
    <mergeCell ref="Z229:AB230"/>
    <mergeCell ref="I220:V220"/>
    <mergeCell ref="AC223:AE224"/>
    <mergeCell ref="M188:Q189"/>
    <mergeCell ref="M171:Q172"/>
    <mergeCell ref="M210:Q211"/>
    <mergeCell ref="R179:V180"/>
    <mergeCell ref="H188:H189"/>
    <mergeCell ref="I171:L172"/>
    <mergeCell ref="W166:Y166"/>
    <mergeCell ref="I196:L197"/>
    <mergeCell ref="R185:V186"/>
    <mergeCell ref="R199:V200"/>
    <mergeCell ref="W203:Y204"/>
    <mergeCell ref="W205:Y206"/>
    <mergeCell ref="Z199:AB200"/>
    <mergeCell ref="Z166:AB166"/>
    <mergeCell ref="M181:Q182"/>
    <mergeCell ref="I188:L189"/>
    <mergeCell ref="AC182:AE182"/>
    <mergeCell ref="AC187:AE187"/>
    <mergeCell ref="Z187:AB187"/>
    <mergeCell ref="W188:Y189"/>
    <mergeCell ref="W199:Y200"/>
    <mergeCell ref="W201:Y202"/>
    <mergeCell ref="W190:Y191"/>
    <mergeCell ref="Z190:AB191"/>
    <mergeCell ref="AB17:AE17"/>
    <mergeCell ref="M167:Q168"/>
    <mergeCell ref="R167:V168"/>
    <mergeCell ref="H149:M149"/>
    <mergeCell ref="H150:M150"/>
    <mergeCell ref="H151:M151"/>
    <mergeCell ref="H152:M152"/>
    <mergeCell ref="H153:M153"/>
    <mergeCell ref="H214:H215"/>
    <mergeCell ref="I214:L215"/>
    <mergeCell ref="W165:AI165"/>
    <mergeCell ref="AH166:AI166"/>
    <mergeCell ref="AJ165:AM165"/>
    <mergeCell ref="AH187:AI187"/>
    <mergeCell ref="AJ187:AK187"/>
    <mergeCell ref="AF205:AG206"/>
    <mergeCell ref="AF207:AG208"/>
    <mergeCell ref="AF196:AG197"/>
    <mergeCell ref="AH196:AI197"/>
    <mergeCell ref="AH199:AI200"/>
    <mergeCell ref="AH190:AI191"/>
    <mergeCell ref="AH201:AI202"/>
    <mergeCell ref="AH188:AI189"/>
    <mergeCell ref="Z201:AB202"/>
    <mergeCell ref="Z188:AB189"/>
    <mergeCell ref="AL205:AM206"/>
    <mergeCell ref="AL207:AM208"/>
    <mergeCell ref="AJ196:AK197"/>
    <mergeCell ref="AL196:AM197"/>
    <mergeCell ref="AJ183:AK184"/>
    <mergeCell ref="AL183:AM184"/>
    <mergeCell ref="AL192:AM193"/>
    <mergeCell ref="V34:Z34"/>
    <mergeCell ref="AA34:AC34"/>
    <mergeCell ref="H22:K22"/>
    <mergeCell ref="H23:K23"/>
    <mergeCell ref="H31:K31"/>
    <mergeCell ref="H32:K32"/>
    <mergeCell ref="H33:K33"/>
    <mergeCell ref="H34:K34"/>
    <mergeCell ref="H21:K21"/>
    <mergeCell ref="AF13:AG13"/>
    <mergeCell ref="AH13:AK13"/>
    <mergeCell ref="H16:I16"/>
    <mergeCell ref="P16:Q16"/>
    <mergeCell ref="AA33:AC33"/>
    <mergeCell ref="N13:O13"/>
    <mergeCell ref="V6:Y6"/>
    <mergeCell ref="V9:Y9"/>
    <mergeCell ref="N10:O10"/>
    <mergeCell ref="Z11:AA11"/>
    <mergeCell ref="L31:P31"/>
    <mergeCell ref="Q32:U32"/>
    <mergeCell ref="Q34:U34"/>
    <mergeCell ref="AF7:AG7"/>
    <mergeCell ref="L30:P30"/>
    <mergeCell ref="T12:U12"/>
    <mergeCell ref="AH7:AK7"/>
    <mergeCell ref="AF8:AG8"/>
    <mergeCell ref="AH8:AK8"/>
    <mergeCell ref="H30:K30"/>
    <mergeCell ref="Z8:AA8"/>
    <mergeCell ref="AB8:AE8"/>
    <mergeCell ref="AB16:AE16"/>
    <mergeCell ref="AB5:AE5"/>
    <mergeCell ref="Z7:AA7"/>
    <mergeCell ref="AB7:AE7"/>
    <mergeCell ref="H134:M134"/>
    <mergeCell ref="H135:M135"/>
    <mergeCell ref="H133:M133"/>
    <mergeCell ref="H132:M132"/>
    <mergeCell ref="H77:T77"/>
    <mergeCell ref="H78:T78"/>
    <mergeCell ref="H79:T79"/>
    <mergeCell ref="H84:T84"/>
    <mergeCell ref="AA111:AB111"/>
    <mergeCell ref="AC111:AH111"/>
    <mergeCell ref="AA106:AH106"/>
    <mergeCell ref="X108:Z110"/>
    <mergeCell ref="AA108:AB108"/>
    <mergeCell ref="AC108:AH108"/>
    <mergeCell ref="L38:P38"/>
    <mergeCell ref="J68:O68"/>
    <mergeCell ref="H69:T69"/>
    <mergeCell ref="AC109:AL110"/>
    <mergeCell ref="AA115:AH115"/>
    <mergeCell ref="Q38:U38"/>
    <mergeCell ref="AA112:AH112"/>
    <mergeCell ref="AA113:AH113"/>
    <mergeCell ref="AA114:AH114"/>
    <mergeCell ref="H70:T70"/>
    <mergeCell ref="H85:T85"/>
    <mergeCell ref="H86:T86"/>
    <mergeCell ref="AB6:AE6"/>
    <mergeCell ref="AH6:AK6"/>
    <mergeCell ref="H12:I12"/>
    <mergeCell ref="H9:I9"/>
    <mergeCell ref="H3:AK3"/>
    <mergeCell ref="H104:T104"/>
    <mergeCell ref="H105:I105"/>
    <mergeCell ref="P105:Q105"/>
    <mergeCell ref="AF10:AG10"/>
    <mergeCell ref="AH10:AK10"/>
    <mergeCell ref="H6:I6"/>
    <mergeCell ref="N6:O6"/>
    <mergeCell ref="T6:U6"/>
    <mergeCell ref="Z6:AA6"/>
    <mergeCell ref="AF6:AG6"/>
    <mergeCell ref="J6:M6"/>
    <mergeCell ref="P10:S10"/>
    <mergeCell ref="T10:U10"/>
    <mergeCell ref="V10:Y10"/>
    <mergeCell ref="P9:S9"/>
    <mergeCell ref="AF9:AG9"/>
    <mergeCell ref="AH9:AK9"/>
    <mergeCell ref="Z10:AA10"/>
    <mergeCell ref="AB10:AE10"/>
    <mergeCell ref="V13:Y13"/>
    <mergeCell ref="V33:Z33"/>
    <mergeCell ref="H14:T14"/>
    <mergeCell ref="T13:U13"/>
    <mergeCell ref="H19:K19"/>
    <mergeCell ref="H20:K20"/>
    <mergeCell ref="H15:V15"/>
    <mergeCell ref="H18:K18"/>
    <mergeCell ref="AF5:AG5"/>
    <mergeCell ref="AH5:AK5"/>
    <mergeCell ref="Z5:AA5"/>
    <mergeCell ref="H137:M137"/>
    <mergeCell ref="R171:V172"/>
    <mergeCell ref="H140:M140"/>
    <mergeCell ref="AF11:AG11"/>
    <mergeCell ref="AH11:AK11"/>
    <mergeCell ref="J10:M10"/>
    <mergeCell ref="T5:U5"/>
    <mergeCell ref="V5:Y5"/>
    <mergeCell ref="T7:U7"/>
    <mergeCell ref="V7:Y7"/>
    <mergeCell ref="AB11:AE11"/>
    <mergeCell ref="Z9:AA9"/>
    <mergeCell ref="AB9:AE9"/>
    <mergeCell ref="Q30:U30"/>
    <mergeCell ref="V30:Z30"/>
    <mergeCell ref="AA30:AC30"/>
    <mergeCell ref="T8:U8"/>
    <mergeCell ref="V8:Y8"/>
    <mergeCell ref="T9:U9"/>
    <mergeCell ref="T11:U11"/>
    <mergeCell ref="V11:Y11"/>
    <mergeCell ref="Z13:AA13"/>
    <mergeCell ref="AB13:AE13"/>
    <mergeCell ref="H29:K29"/>
    <mergeCell ref="L29:P29"/>
    <mergeCell ref="Q29:U29"/>
    <mergeCell ref="P13:S13"/>
    <mergeCell ref="V29:Z29"/>
    <mergeCell ref="AA29:AC29"/>
    <mergeCell ref="H5:I5"/>
    <mergeCell ref="H7:I7"/>
    <mergeCell ref="H8:I8"/>
    <mergeCell ref="AC198:AE198"/>
    <mergeCell ref="H163:AD163"/>
    <mergeCell ref="AC192:AE193"/>
    <mergeCell ref="R192:V193"/>
    <mergeCell ref="H185:H186"/>
    <mergeCell ref="H173:H174"/>
    <mergeCell ref="AC172:AE172"/>
    <mergeCell ref="AC167:AE167"/>
    <mergeCell ref="M185:Q186"/>
    <mergeCell ref="H10:I10"/>
    <mergeCell ref="H11:I11"/>
    <mergeCell ref="H13:I13"/>
    <mergeCell ref="J13:M13"/>
    <mergeCell ref="N5:O5"/>
    <mergeCell ref="P5:S5"/>
    <mergeCell ref="N7:O7"/>
    <mergeCell ref="P7:S7"/>
    <mergeCell ref="N8:O8"/>
    <mergeCell ref="P8:S8"/>
    <mergeCell ref="N9:O9"/>
    <mergeCell ref="J5:M5"/>
    <mergeCell ref="J7:M7"/>
    <mergeCell ref="J8:M8"/>
    <mergeCell ref="J9:M9"/>
    <mergeCell ref="P6:S6"/>
    <mergeCell ref="J12:M12"/>
    <mergeCell ref="P12:S12"/>
    <mergeCell ref="N12:O12"/>
    <mergeCell ref="J11:M11"/>
    <mergeCell ref="P11:S11"/>
    <mergeCell ref="N11:O11"/>
    <mergeCell ref="H62:T62"/>
    <mergeCell ref="AC313:AD314"/>
    <mergeCell ref="H141:M141"/>
    <mergeCell ref="H142:M142"/>
    <mergeCell ref="H143:M143"/>
    <mergeCell ref="H144:M144"/>
    <mergeCell ref="R216:V217"/>
    <mergeCell ref="H212:H213"/>
    <mergeCell ref="I203:L204"/>
    <mergeCell ref="R169:V170"/>
    <mergeCell ref="M173:Q174"/>
    <mergeCell ref="R173:V174"/>
    <mergeCell ref="R203:V204"/>
    <mergeCell ref="H331:I332"/>
    <mergeCell ref="AA303:AB304"/>
    <mergeCell ref="AC303:AD304"/>
    <mergeCell ref="H154:M154"/>
    <mergeCell ref="H155:M155"/>
    <mergeCell ref="H156:M156"/>
    <mergeCell ref="H157:M157"/>
    <mergeCell ref="H158:M158"/>
    <mergeCell ref="H159:M159"/>
    <mergeCell ref="H160:M160"/>
    <mergeCell ref="H161:M161"/>
    <mergeCell ref="H243:H244"/>
    <mergeCell ref="I243:L244"/>
    <mergeCell ref="H238:H239"/>
    <mergeCell ref="M229:Q230"/>
    <mergeCell ref="M225:Q226"/>
    <mergeCell ref="M221:Q222"/>
    <mergeCell ref="M218:Q219"/>
    <mergeCell ref="M232:Q233"/>
    <mergeCell ref="M236:Q237"/>
    <mergeCell ref="M329:P330"/>
    <mergeCell ref="Q329:T330"/>
    <mergeCell ref="U329:X330"/>
    <mergeCell ref="Q323:T324"/>
    <mergeCell ref="U323:X324"/>
    <mergeCell ref="Y323:Z324"/>
    <mergeCell ref="H311:I312"/>
    <mergeCell ref="J311:L312"/>
    <mergeCell ref="M311:P312"/>
    <mergeCell ref="J309:L310"/>
    <mergeCell ref="Y309:Z310"/>
    <mergeCell ref="Q319:T320"/>
    <mergeCell ref="U319:X320"/>
    <mergeCell ref="H138:M138"/>
    <mergeCell ref="H139:M139"/>
    <mergeCell ref="J297:L298"/>
    <mergeCell ref="AA313:AB314"/>
    <mergeCell ref="I173:L174"/>
    <mergeCell ref="I185:L186"/>
    <mergeCell ref="I175:L176"/>
    <mergeCell ref="M175:Q176"/>
    <mergeCell ref="M227:Q228"/>
    <mergeCell ref="I181:L182"/>
    <mergeCell ref="I242:V242"/>
    <mergeCell ref="W198:Y198"/>
    <mergeCell ref="Z198:AB198"/>
    <mergeCell ref="H175:H176"/>
    <mergeCell ref="H181:H182"/>
    <mergeCell ref="W177:Y177"/>
    <mergeCell ref="H171:H172"/>
    <mergeCell ref="I169:L170"/>
    <mergeCell ref="M169:Q170"/>
    <mergeCell ref="R265:V266"/>
    <mergeCell ref="W265:Y266"/>
    <mergeCell ref="R232:V233"/>
    <mergeCell ref="W243:Y244"/>
    <mergeCell ref="W234:Y235"/>
    <mergeCell ref="H251:H252"/>
    <mergeCell ref="W267:Y268"/>
    <mergeCell ref="Z267:AB268"/>
    <mergeCell ref="Z253:AB253"/>
    <mergeCell ref="M251:Q252"/>
    <mergeCell ref="H289:I290"/>
    <mergeCell ref="J289:L290"/>
    <mergeCell ref="R257:V258"/>
    <mergeCell ref="W259:Y260"/>
    <mergeCell ref="Z259:AB260"/>
    <mergeCell ref="W242:Y242"/>
    <mergeCell ref="Z242:AB242"/>
    <mergeCell ref="I245:L246"/>
    <mergeCell ref="I247:L248"/>
    <mergeCell ref="M247:Q248"/>
    <mergeCell ref="R247:V248"/>
    <mergeCell ref="W247:Y248"/>
    <mergeCell ref="Q285:T286"/>
    <mergeCell ref="U285:X286"/>
    <mergeCell ref="H265:H266"/>
    <mergeCell ref="I265:L266"/>
    <mergeCell ref="M265:Q266"/>
    <mergeCell ref="M259:Q260"/>
    <mergeCell ref="R259:V260"/>
    <mergeCell ref="H245:H246"/>
    <mergeCell ref="H247:H248"/>
    <mergeCell ref="H249:H250"/>
    <mergeCell ref="AC289:AD290"/>
    <mergeCell ref="AC267:AE268"/>
    <mergeCell ref="W232:Y233"/>
    <mergeCell ref="H299:I300"/>
    <mergeCell ref="H301:I302"/>
    <mergeCell ref="AA285:AD285"/>
    <mergeCell ref="AA286:AB286"/>
    <mergeCell ref="J307:L308"/>
    <mergeCell ref="H255:H256"/>
    <mergeCell ref="I255:L256"/>
    <mergeCell ref="H257:H258"/>
    <mergeCell ref="J301:L302"/>
    <mergeCell ref="I257:L258"/>
    <mergeCell ref="H267:H268"/>
    <mergeCell ref="I267:L268"/>
    <mergeCell ref="R251:V252"/>
    <mergeCell ref="Z263:AB264"/>
    <mergeCell ref="I234:L235"/>
    <mergeCell ref="Y299:Z300"/>
    <mergeCell ref="Y301:Z302"/>
    <mergeCell ref="Q301:T302"/>
    <mergeCell ref="U301:X302"/>
    <mergeCell ref="AA297:AB298"/>
    <mergeCell ref="I251:L252"/>
    <mergeCell ref="W253:Y253"/>
    <mergeCell ref="I238:L239"/>
    <mergeCell ref="H232:H233"/>
    <mergeCell ref="J291:L292"/>
    <mergeCell ref="M291:P292"/>
    <mergeCell ref="Q291:T292"/>
    <mergeCell ref="U291:X292"/>
    <mergeCell ref="Y291:Z292"/>
    <mergeCell ref="AC243:AE244"/>
    <mergeCell ref="AF240:AG241"/>
    <mergeCell ref="AF232:AG233"/>
    <mergeCell ref="AH232:AI233"/>
    <mergeCell ref="BF240:BF241"/>
    <mergeCell ref="AH238:AI239"/>
    <mergeCell ref="BF214:BF215"/>
    <mergeCell ref="AH216:AI217"/>
    <mergeCell ref="AF216:AG217"/>
    <mergeCell ref="AL187:AM187"/>
    <mergeCell ref="AL198:AM198"/>
    <mergeCell ref="I221:L222"/>
    <mergeCell ref="H223:H224"/>
    <mergeCell ref="I240:L241"/>
    <mergeCell ref="H234:H235"/>
    <mergeCell ref="R234:V235"/>
    <mergeCell ref="M243:Q244"/>
    <mergeCell ref="M238:Q239"/>
    <mergeCell ref="M234:Q235"/>
    <mergeCell ref="AC232:AE233"/>
    <mergeCell ref="AJ190:AK191"/>
    <mergeCell ref="BF205:BF206"/>
    <mergeCell ref="BF207:BF208"/>
    <mergeCell ref="AF188:AG189"/>
    <mergeCell ref="AH214:AI215"/>
    <mergeCell ref="AO165:AW195"/>
    <mergeCell ref="BF171:BF172"/>
    <mergeCell ref="AJ232:AK233"/>
    <mergeCell ref="AC181:AE181"/>
    <mergeCell ref="AF181:AG181"/>
    <mergeCell ref="AC170:AE170"/>
    <mergeCell ref="AF170:AG170"/>
    <mergeCell ref="BU265:BU266"/>
    <mergeCell ref="AC265:AE266"/>
    <mergeCell ref="AF265:AG266"/>
    <mergeCell ref="AJ265:AK266"/>
    <mergeCell ref="H291:I292"/>
    <mergeCell ref="Y287:Z288"/>
    <mergeCell ref="M303:P304"/>
    <mergeCell ref="J333:L334"/>
    <mergeCell ref="M333:P334"/>
    <mergeCell ref="J299:L300"/>
    <mergeCell ref="M297:P298"/>
    <mergeCell ref="H323:I324"/>
    <mergeCell ref="J323:L324"/>
    <mergeCell ref="Q325:T326"/>
    <mergeCell ref="U325:X326"/>
    <mergeCell ref="Y325:Z326"/>
    <mergeCell ref="AF187:AG187"/>
    <mergeCell ref="BK187:BN187"/>
    <mergeCell ref="BK236:BN237"/>
    <mergeCell ref="BS255:BS256"/>
    <mergeCell ref="AC263:AE264"/>
    <mergeCell ref="BO263:BO264"/>
    <mergeCell ref="BP263:BP264"/>
    <mergeCell ref="BQ263:BQ264"/>
    <mergeCell ref="AN199:AN200"/>
    <mergeCell ref="AN201:AN202"/>
    <mergeCell ref="AN203:AN204"/>
    <mergeCell ref="AN205:AN206"/>
    <mergeCell ref="AN207:AN208"/>
    <mergeCell ref="AN210:AN211"/>
    <mergeCell ref="AN212:AN213"/>
    <mergeCell ref="AN214:AN215"/>
    <mergeCell ref="BF263:BF264"/>
    <mergeCell ref="AH267:AI268"/>
    <mergeCell ref="AJ267:AK268"/>
    <mergeCell ref="AL267:AM268"/>
    <mergeCell ref="H356:N356"/>
    <mergeCell ref="O356:W356"/>
    <mergeCell ref="R267:V268"/>
    <mergeCell ref="Q309:T310"/>
    <mergeCell ref="U309:X310"/>
    <mergeCell ref="M267:Q268"/>
    <mergeCell ref="H293:I294"/>
    <mergeCell ref="J295:L296"/>
    <mergeCell ref="H276:AD276"/>
    <mergeCell ref="H278:AD278"/>
    <mergeCell ref="H287:I288"/>
    <mergeCell ref="AA315:AB316"/>
    <mergeCell ref="H297:I298"/>
    <mergeCell ref="J313:L314"/>
    <mergeCell ref="Q313:T314"/>
    <mergeCell ref="H345:I346"/>
    <mergeCell ref="J345:L346"/>
    <mergeCell ref="AC333:AD334"/>
    <mergeCell ref="Q333:T334"/>
    <mergeCell ref="J327:L328"/>
    <mergeCell ref="M327:P328"/>
    <mergeCell ref="AA325:AB326"/>
    <mergeCell ref="AC325:AD326"/>
    <mergeCell ref="Q331:T332"/>
    <mergeCell ref="Y317:Z318"/>
    <mergeCell ref="H335:I336"/>
    <mergeCell ref="AC287:AD288"/>
    <mergeCell ref="AA287:AB288"/>
    <mergeCell ref="BT265:BT266"/>
    <mergeCell ref="H145:AK145"/>
    <mergeCell ref="H146:M146"/>
    <mergeCell ref="H147:M147"/>
    <mergeCell ref="H148:M148"/>
    <mergeCell ref="H136:M136"/>
    <mergeCell ref="I165:L166"/>
    <mergeCell ref="M166:Q166"/>
    <mergeCell ref="R166:V166"/>
    <mergeCell ref="M165:V165"/>
    <mergeCell ref="I223:L224"/>
    <mergeCell ref="H203:H204"/>
    <mergeCell ref="H205:H206"/>
    <mergeCell ref="H207:H208"/>
    <mergeCell ref="H210:H211"/>
    <mergeCell ref="H63:T63"/>
    <mergeCell ref="H64:I64"/>
    <mergeCell ref="J64:O64"/>
    <mergeCell ref="H65:I65"/>
    <mergeCell ref="J65:O65"/>
    <mergeCell ref="H66:I67"/>
    <mergeCell ref="J66:T67"/>
    <mergeCell ref="H68:I68"/>
    <mergeCell ref="AL265:AM266"/>
    <mergeCell ref="BF265:BF266"/>
    <mergeCell ref="BO203:BO204"/>
    <mergeCell ref="AJ209:AK209"/>
    <mergeCell ref="AC221:AE222"/>
    <mergeCell ref="AC220:AE220"/>
    <mergeCell ref="H225:H226"/>
    <mergeCell ref="I225:L226"/>
    <mergeCell ref="AN216:AN217"/>
    <mergeCell ref="CF203:CF204"/>
    <mergeCell ref="CF205:CF206"/>
    <mergeCell ref="CF207:CF208"/>
    <mergeCell ref="CF209:CF210"/>
    <mergeCell ref="AH265:AI266"/>
    <mergeCell ref="AC293:AD294"/>
    <mergeCell ref="H227:H228"/>
    <mergeCell ref="I227:L228"/>
    <mergeCell ref="H229:H230"/>
    <mergeCell ref="I229:L230"/>
    <mergeCell ref="H263:H264"/>
    <mergeCell ref="I263:L264"/>
    <mergeCell ref="M263:Q264"/>
    <mergeCell ref="R263:V264"/>
    <mergeCell ref="W263:Y264"/>
    <mergeCell ref="R212:V213"/>
    <mergeCell ref="H218:H219"/>
    <mergeCell ref="R236:V237"/>
    <mergeCell ref="W216:Y217"/>
    <mergeCell ref="W218:Y219"/>
    <mergeCell ref="BT263:BT264"/>
    <mergeCell ref="BU263:BU264"/>
    <mergeCell ref="Z243:AB244"/>
    <mergeCell ref="AF234:AG235"/>
    <mergeCell ref="Z251:AB252"/>
    <mergeCell ref="BG231:BJ231"/>
    <mergeCell ref="AL242:AM242"/>
    <mergeCell ref="I253:V253"/>
    <mergeCell ref="M240:Q241"/>
    <mergeCell ref="W220:Y220"/>
    <mergeCell ref="AA291:AB292"/>
    <mergeCell ref="AC291:AD292"/>
    <mergeCell ref="BT267:BT268"/>
    <mergeCell ref="BG263:BJ264"/>
    <mergeCell ref="BK263:BN264"/>
    <mergeCell ref="BO267:BO268"/>
    <mergeCell ref="BP267:BP268"/>
    <mergeCell ref="BK265:BN266"/>
    <mergeCell ref="BO265:BO266"/>
    <mergeCell ref="BP265:BP266"/>
    <mergeCell ref="BQ265:BQ266"/>
    <mergeCell ref="BR265:BR266"/>
    <mergeCell ref="BS265:BS266"/>
    <mergeCell ref="U327:X328"/>
    <mergeCell ref="Y327:Z328"/>
    <mergeCell ref="AF267:AG268"/>
    <mergeCell ref="AC331:AD332"/>
    <mergeCell ref="AA301:AB302"/>
    <mergeCell ref="U299:X300"/>
    <mergeCell ref="AC299:AD300"/>
    <mergeCell ref="AC307:AD308"/>
    <mergeCell ref="AC319:AD320"/>
    <mergeCell ref="H274:AD274"/>
    <mergeCell ref="AA307:AB308"/>
    <mergeCell ref="AC309:AD310"/>
    <mergeCell ref="AC297:AD298"/>
    <mergeCell ref="Y331:Z332"/>
    <mergeCell ref="AA331:AB332"/>
    <mergeCell ref="Y303:Z304"/>
    <mergeCell ref="Y305:Z306"/>
    <mergeCell ref="Y307:Z308"/>
    <mergeCell ref="H285:I286"/>
    <mergeCell ref="AA327:AB328"/>
    <mergeCell ref="AC327:AD328"/>
    <mergeCell ref="CF189:CF198"/>
    <mergeCell ref="CF199:CF200"/>
    <mergeCell ref="CF201:CF202"/>
    <mergeCell ref="AF263:AG264"/>
    <mergeCell ref="CF213:CF214"/>
    <mergeCell ref="CF215:CF216"/>
    <mergeCell ref="CF217:CF218"/>
    <mergeCell ref="CF187:CF188"/>
    <mergeCell ref="AN188:AN189"/>
    <mergeCell ref="AH253:AI253"/>
    <mergeCell ref="AJ253:AK253"/>
    <mergeCell ref="AL231:AM231"/>
    <mergeCell ref="BQ267:BQ268"/>
    <mergeCell ref="BR267:BR268"/>
    <mergeCell ref="BS267:BS268"/>
    <mergeCell ref="BP257:BP258"/>
    <mergeCell ref="BK267:BN268"/>
    <mergeCell ref="BU267:BU268"/>
    <mergeCell ref="AF253:AG253"/>
    <mergeCell ref="AH263:AI264"/>
    <mergeCell ref="AJ263:AK264"/>
    <mergeCell ref="AL263:AM264"/>
    <mergeCell ref="BG265:BJ266"/>
    <mergeCell ref="BF267:BF268"/>
    <mergeCell ref="BG267:BJ268"/>
    <mergeCell ref="CF243:CF244"/>
    <mergeCell ref="CF251:CF252"/>
    <mergeCell ref="CF253:CF254"/>
    <mergeCell ref="BT255:BT256"/>
    <mergeCell ref="BU255:BU256"/>
    <mergeCell ref="BR263:BR264"/>
    <mergeCell ref="BS263:BS264"/>
    <mergeCell ref="AO360:AW376"/>
    <mergeCell ref="AF354:AH355"/>
    <mergeCell ref="AF356:AH357"/>
    <mergeCell ref="H348:AD348"/>
    <mergeCell ref="V12:Y12"/>
    <mergeCell ref="AB12:AE12"/>
    <mergeCell ref="AH12:AK12"/>
    <mergeCell ref="H40:X46"/>
    <mergeCell ref="H48:X50"/>
    <mergeCell ref="AC166:AE166"/>
    <mergeCell ref="AF166:AG166"/>
    <mergeCell ref="AC335:AD336"/>
    <mergeCell ref="H343:I344"/>
    <mergeCell ref="J343:L344"/>
    <mergeCell ref="M343:P344"/>
    <mergeCell ref="Q343:T344"/>
    <mergeCell ref="U343:X344"/>
    <mergeCell ref="Y343:Z344"/>
    <mergeCell ref="AA343:AB344"/>
    <mergeCell ref="AC343:AD344"/>
    <mergeCell ref="H341:I342"/>
    <mergeCell ref="J341:L342"/>
    <mergeCell ref="M341:P342"/>
    <mergeCell ref="Q341:T342"/>
    <mergeCell ref="U341:X342"/>
    <mergeCell ref="Y341:Z342"/>
    <mergeCell ref="AA120:AH120"/>
    <mergeCell ref="AA121:AH121"/>
    <mergeCell ref="AA122:AH122"/>
    <mergeCell ref="AA123:AH123"/>
    <mergeCell ref="AO5:AW17"/>
    <mergeCell ref="H280:AD280"/>
    <mergeCell ref="U431:AA431"/>
    <mergeCell ref="R382:S384"/>
    <mergeCell ref="R394:S396"/>
    <mergeCell ref="T394:T396"/>
    <mergeCell ref="R397:S399"/>
    <mergeCell ref="T397:T399"/>
    <mergeCell ref="AA109:AB110"/>
    <mergeCell ref="U380:AA380"/>
    <mergeCell ref="U381:AA381"/>
    <mergeCell ref="U364:AA364"/>
    <mergeCell ref="U365:AA365"/>
    <mergeCell ref="U366:AA366"/>
    <mergeCell ref="U367:AA367"/>
    <mergeCell ref="U368:AA368"/>
    <mergeCell ref="U369:AA369"/>
    <mergeCell ref="U370:AA370"/>
    <mergeCell ref="U371:AA371"/>
    <mergeCell ref="U372:AA372"/>
    <mergeCell ref="T364:T366"/>
    <mergeCell ref="R367:S369"/>
    <mergeCell ref="T367:T369"/>
    <mergeCell ref="R370:S372"/>
    <mergeCell ref="T370:T372"/>
    <mergeCell ref="R373:S375"/>
    <mergeCell ref="T373:T375"/>
    <mergeCell ref="Y319:Z320"/>
    <mergeCell ref="AA335:AB336"/>
    <mergeCell ref="Z265:AB266"/>
    <mergeCell ref="R238:V239"/>
    <mergeCell ref="W236:Y237"/>
    <mergeCell ref="H272:AD272"/>
    <mergeCell ref="AA323:AB324"/>
    <mergeCell ref="U406:AA406"/>
    <mergeCell ref="M345:P346"/>
    <mergeCell ref="Q345:T346"/>
    <mergeCell ref="U402:AA402"/>
    <mergeCell ref="U403:AA403"/>
    <mergeCell ref="U382:AA382"/>
    <mergeCell ref="U383:AA383"/>
    <mergeCell ref="U384:AA384"/>
    <mergeCell ref="U385:AA385"/>
    <mergeCell ref="U386:AA386"/>
    <mergeCell ref="U387:AA387"/>
    <mergeCell ref="U388:AA388"/>
    <mergeCell ref="U389:AA389"/>
    <mergeCell ref="H350:AD350"/>
    <mergeCell ref="I361:J361"/>
    <mergeCell ref="I362:J362"/>
    <mergeCell ref="I363:J363"/>
    <mergeCell ref="K361:M361"/>
    <mergeCell ref="K362:M362"/>
    <mergeCell ref="K363:M363"/>
    <mergeCell ref="AB361:AE361"/>
    <mergeCell ref="AB362:AE362"/>
    <mergeCell ref="I360:J360"/>
    <mergeCell ref="AA345:AB346"/>
    <mergeCell ref="U345:X346"/>
    <mergeCell ref="Y345:Z346"/>
    <mergeCell ref="X356:AD356"/>
    <mergeCell ref="AB363:AE363"/>
    <mergeCell ref="N361:Q361"/>
    <mergeCell ref="N362:Q362"/>
    <mergeCell ref="N363:Q363"/>
    <mergeCell ref="I364:J364"/>
    <mergeCell ref="M335:P336"/>
    <mergeCell ref="Q335:T336"/>
    <mergeCell ref="AA319:AB320"/>
    <mergeCell ref="U335:X336"/>
    <mergeCell ref="Y335:Z336"/>
    <mergeCell ref="AA339:AB340"/>
    <mergeCell ref="AA341:AB342"/>
    <mergeCell ref="AC341:AD342"/>
    <mergeCell ref="Y313:Z314"/>
    <mergeCell ref="AA309:AB310"/>
    <mergeCell ref="J305:L306"/>
    <mergeCell ref="AA305:AB306"/>
    <mergeCell ref="AC305:AD306"/>
    <mergeCell ref="H313:I314"/>
    <mergeCell ref="J331:L332"/>
    <mergeCell ref="M323:P324"/>
    <mergeCell ref="H309:I310"/>
    <mergeCell ref="Y329:Z330"/>
    <mergeCell ref="AA329:AB330"/>
    <mergeCell ref="AC329:AD330"/>
    <mergeCell ref="H325:I326"/>
    <mergeCell ref="J325:L326"/>
    <mergeCell ref="M325:P326"/>
    <mergeCell ref="M305:P306"/>
    <mergeCell ref="AC315:AD316"/>
    <mergeCell ref="Y311:Z312"/>
    <mergeCell ref="Q311:T312"/>
    <mergeCell ref="H327:I328"/>
    <mergeCell ref="AA311:AB312"/>
    <mergeCell ref="AC311:AD312"/>
    <mergeCell ref="H329:I330"/>
    <mergeCell ref="J329:L330"/>
    <mergeCell ref="Q339:T340"/>
    <mergeCell ref="U339:X340"/>
    <mergeCell ref="Y339:Z340"/>
    <mergeCell ref="M331:P332"/>
    <mergeCell ref="AC286:AD286"/>
    <mergeCell ref="U317:X318"/>
    <mergeCell ref="H337:I338"/>
    <mergeCell ref="J337:L338"/>
    <mergeCell ref="M337:P338"/>
    <mergeCell ref="Q337:T338"/>
    <mergeCell ref="U337:X338"/>
    <mergeCell ref="U438:AA438"/>
    <mergeCell ref="U413:AA413"/>
    <mergeCell ref="U414:AA414"/>
    <mergeCell ref="U415:AA415"/>
    <mergeCell ref="U416:AA416"/>
    <mergeCell ref="U417:AA417"/>
    <mergeCell ref="U418:AA418"/>
    <mergeCell ref="U419:AA419"/>
    <mergeCell ref="U420:AA420"/>
    <mergeCell ref="R425:S425"/>
    <mergeCell ref="U425:AA425"/>
    <mergeCell ref="R412:S414"/>
    <mergeCell ref="T412:T414"/>
    <mergeCell ref="R415:S417"/>
    <mergeCell ref="T415:T417"/>
    <mergeCell ref="R418:S420"/>
    <mergeCell ref="T418:T420"/>
    <mergeCell ref="U412:AA412"/>
    <mergeCell ref="M299:P300"/>
    <mergeCell ref="U396:AA396"/>
    <mergeCell ref="J335:L336"/>
    <mergeCell ref="L453:M453"/>
    <mergeCell ref="N453:T453"/>
    <mergeCell ref="U453:V453"/>
    <mergeCell ref="X453:Y453"/>
    <mergeCell ref="Z453:AA453"/>
    <mergeCell ref="AB453:AE453"/>
    <mergeCell ref="K454:K456"/>
    <mergeCell ref="L454:M456"/>
    <mergeCell ref="N454:T456"/>
    <mergeCell ref="U454:V456"/>
    <mergeCell ref="W454:W456"/>
    <mergeCell ref="X454:Y456"/>
    <mergeCell ref="AB451:AE451"/>
    <mergeCell ref="L452:M452"/>
    <mergeCell ref="N452:T452"/>
    <mergeCell ref="H83:T83"/>
    <mergeCell ref="AA321:AB322"/>
    <mergeCell ref="R432:S432"/>
    <mergeCell ref="U430:AA430"/>
    <mergeCell ref="Y333:Z334"/>
    <mergeCell ref="H270:AD270"/>
    <mergeCell ref="H321:I322"/>
    <mergeCell ref="J321:L322"/>
    <mergeCell ref="J317:L318"/>
    <mergeCell ref="Q317:T318"/>
    <mergeCell ref="W257:Y258"/>
    <mergeCell ref="U311:X312"/>
    <mergeCell ref="AA293:AB294"/>
    <mergeCell ref="M321:P322"/>
    <mergeCell ref="Q321:T322"/>
    <mergeCell ref="U321:X322"/>
    <mergeCell ref="Y321:Z322"/>
    <mergeCell ref="U305:X306"/>
    <mergeCell ref="J293:L294"/>
    <mergeCell ref="M293:P294"/>
    <mergeCell ref="Q293:T294"/>
    <mergeCell ref="U293:X294"/>
    <mergeCell ref="Y293:Z294"/>
    <mergeCell ref="H307:I308"/>
    <mergeCell ref="K360:M360"/>
    <mergeCell ref="N360:Q360"/>
    <mergeCell ref="R360:AA360"/>
    <mergeCell ref="Y285:Z286"/>
    <mergeCell ref="J285:L286"/>
    <mergeCell ref="M285:P286"/>
    <mergeCell ref="AA289:AB290"/>
    <mergeCell ref="R249:V250"/>
    <mergeCell ref="J287:L288"/>
    <mergeCell ref="M287:P288"/>
    <mergeCell ref="AB360:AE360"/>
    <mergeCell ref="M317:P318"/>
    <mergeCell ref="M313:P314"/>
    <mergeCell ref="Q303:T304"/>
    <mergeCell ref="U303:X304"/>
    <mergeCell ref="Q305:T306"/>
    <mergeCell ref="H319:I320"/>
    <mergeCell ref="J319:L320"/>
    <mergeCell ref="M319:P320"/>
    <mergeCell ref="Y337:Z338"/>
    <mergeCell ref="AA337:AB338"/>
    <mergeCell ref="AC337:AD338"/>
    <mergeCell ref="AC345:AD346"/>
    <mergeCell ref="AC323:AD324"/>
    <mergeCell ref="AC321:AD322"/>
    <mergeCell ref="U410:AA410"/>
    <mergeCell ref="U411:AA411"/>
    <mergeCell ref="R403:S405"/>
    <mergeCell ref="T403:T405"/>
    <mergeCell ref="R406:S408"/>
    <mergeCell ref="T406:T408"/>
    <mergeCell ref="R409:S411"/>
    <mergeCell ref="T409:T411"/>
    <mergeCell ref="H90:T90"/>
    <mergeCell ref="H87:T87"/>
    <mergeCell ref="H91:I91"/>
    <mergeCell ref="J91:O91"/>
    <mergeCell ref="X451:Y451"/>
    <mergeCell ref="Z451:AA451"/>
    <mergeCell ref="I447:J448"/>
    <mergeCell ref="K447:K448"/>
    <mergeCell ref="U333:X334"/>
    <mergeCell ref="X354:AD355"/>
    <mergeCell ref="AC339:AD340"/>
    <mergeCell ref="H89:T89"/>
    <mergeCell ref="J92:O92"/>
    <mergeCell ref="H93:I94"/>
    <mergeCell ref="J93:T94"/>
    <mergeCell ref="R361:S363"/>
    <mergeCell ref="T361:T363"/>
    <mergeCell ref="R364:S366"/>
    <mergeCell ref="H92:I92"/>
    <mergeCell ref="H317:I318"/>
    <mergeCell ref="U451:V451"/>
    <mergeCell ref="AC174:AE174"/>
    <mergeCell ref="Q287:T288"/>
    <mergeCell ref="U287:X288"/>
    <mergeCell ref="N461:T461"/>
    <mergeCell ref="N472:T472"/>
    <mergeCell ref="U432:AA432"/>
    <mergeCell ref="R430:S430"/>
    <mergeCell ref="Q327:T328"/>
    <mergeCell ref="AA299:AB300"/>
    <mergeCell ref="R431:S431"/>
    <mergeCell ref="U461:V461"/>
    <mergeCell ref="X461:Y461"/>
    <mergeCell ref="Z461:AA461"/>
    <mergeCell ref="AB461:AE461"/>
    <mergeCell ref="AB447:AE448"/>
    <mergeCell ref="AB449:AE449"/>
    <mergeCell ref="N450:T450"/>
    <mergeCell ref="AB452:AE452"/>
    <mergeCell ref="AC317:AD318"/>
    <mergeCell ref="AA333:AB334"/>
    <mergeCell ref="U395:AA395"/>
    <mergeCell ref="U397:AA397"/>
    <mergeCell ref="U398:AA398"/>
    <mergeCell ref="U399:AA399"/>
    <mergeCell ref="U400:AA400"/>
    <mergeCell ref="R400:S402"/>
    <mergeCell ref="T400:T402"/>
    <mergeCell ref="U404:AA404"/>
    <mergeCell ref="U405:AA405"/>
    <mergeCell ref="H354:N355"/>
    <mergeCell ref="O354:W355"/>
    <mergeCell ref="Q299:T300"/>
    <mergeCell ref="M301:P302"/>
    <mergeCell ref="U408:AA408"/>
    <mergeCell ref="U409:AA409"/>
    <mergeCell ref="N470:T471"/>
    <mergeCell ref="Z448:AA448"/>
    <mergeCell ref="I449:J456"/>
    <mergeCell ref="L449:M449"/>
    <mergeCell ref="N449:T449"/>
    <mergeCell ref="U449:V449"/>
    <mergeCell ref="X449:Y449"/>
    <mergeCell ref="Z449:AA449"/>
    <mergeCell ref="L450:M450"/>
    <mergeCell ref="L447:V448"/>
    <mergeCell ref="W447:W448"/>
    <mergeCell ref="X447:AA447"/>
    <mergeCell ref="X448:Y448"/>
    <mergeCell ref="K462:K463"/>
    <mergeCell ref="L462:M463"/>
    <mergeCell ref="N462:T463"/>
    <mergeCell ref="N468:T469"/>
    <mergeCell ref="U468:V469"/>
    <mergeCell ref="W468:W469"/>
    <mergeCell ref="X468:Y469"/>
    <mergeCell ref="I457:J491"/>
    <mergeCell ref="L457:M457"/>
    <mergeCell ref="N457:T457"/>
    <mergeCell ref="U457:V457"/>
    <mergeCell ref="X457:Y457"/>
    <mergeCell ref="Z457:AA457"/>
    <mergeCell ref="X450:Y450"/>
    <mergeCell ref="Z450:AA450"/>
    <mergeCell ref="U452:V452"/>
    <mergeCell ref="N459:T460"/>
    <mergeCell ref="X452:Y452"/>
    <mergeCell ref="Z452:AA452"/>
    <mergeCell ref="Z464:AA465"/>
    <mergeCell ref="AB464:AE465"/>
    <mergeCell ref="U472:V472"/>
    <mergeCell ref="X472:Y472"/>
    <mergeCell ref="Z472:AA472"/>
    <mergeCell ref="U462:V463"/>
    <mergeCell ref="W462:W463"/>
    <mergeCell ref="Z468:AA469"/>
    <mergeCell ref="U450:V450"/>
    <mergeCell ref="K473:K484"/>
    <mergeCell ref="L473:M484"/>
    <mergeCell ref="N473:T484"/>
    <mergeCell ref="U473:V484"/>
    <mergeCell ref="W473:W484"/>
    <mergeCell ref="X473:Y484"/>
    <mergeCell ref="Z473:AA484"/>
    <mergeCell ref="AB473:AE484"/>
    <mergeCell ref="L472:M472"/>
    <mergeCell ref="N466:T467"/>
    <mergeCell ref="U466:V467"/>
    <mergeCell ref="W466:W467"/>
    <mergeCell ref="X466:Y467"/>
    <mergeCell ref="Z466:AA467"/>
    <mergeCell ref="AB466:AE467"/>
    <mergeCell ref="K468:K469"/>
    <mergeCell ref="L468:M469"/>
    <mergeCell ref="AB472:AE472"/>
    <mergeCell ref="AB450:AE450"/>
    <mergeCell ref="L451:M451"/>
    <mergeCell ref="N451:T451"/>
    <mergeCell ref="K470:K471"/>
    <mergeCell ref="L470:M471"/>
    <mergeCell ref="J525:M526"/>
    <mergeCell ref="N525:AF525"/>
    <mergeCell ref="AB468:AE469"/>
    <mergeCell ref="U459:V460"/>
    <mergeCell ref="W459:W460"/>
    <mergeCell ref="X459:Y460"/>
    <mergeCell ref="Z459:AA460"/>
    <mergeCell ref="AB459:AE460"/>
    <mergeCell ref="L461:M461"/>
    <mergeCell ref="K485:K488"/>
    <mergeCell ref="L485:M488"/>
    <mergeCell ref="N485:T488"/>
    <mergeCell ref="U485:V488"/>
    <mergeCell ref="W485:W488"/>
    <mergeCell ref="X485:Y488"/>
    <mergeCell ref="Z485:AA488"/>
    <mergeCell ref="AB485:AE488"/>
    <mergeCell ref="K489:K491"/>
    <mergeCell ref="L489:M491"/>
    <mergeCell ref="N489:T491"/>
    <mergeCell ref="U489:V491"/>
    <mergeCell ref="W489:W491"/>
    <mergeCell ref="X489:Y491"/>
    <mergeCell ref="Z489:AA491"/>
    <mergeCell ref="AB489:AE491"/>
    <mergeCell ref="K466:K467"/>
    <mergeCell ref="L466:M467"/>
    <mergeCell ref="U470:V471"/>
    <mergeCell ref="W470:W471"/>
    <mergeCell ref="X470:Y471"/>
    <mergeCell ref="Z470:AA471"/>
    <mergeCell ref="AB470:AE471"/>
    <mergeCell ref="AF174:AG174"/>
    <mergeCell ref="AC176:AE176"/>
    <mergeCell ref="AF176:AG176"/>
    <mergeCell ref="AC178:AE178"/>
    <mergeCell ref="AF178:AG178"/>
    <mergeCell ref="I494:AE494"/>
    <mergeCell ref="J496:AF498"/>
    <mergeCell ref="J500:AF521"/>
    <mergeCell ref="J523:M524"/>
    <mergeCell ref="N523:AF523"/>
    <mergeCell ref="Z454:AA456"/>
    <mergeCell ref="AB454:AE456"/>
    <mergeCell ref="X462:Y463"/>
    <mergeCell ref="Z462:AA463"/>
    <mergeCell ref="AB462:AE463"/>
    <mergeCell ref="K464:K465"/>
    <mergeCell ref="L464:M465"/>
    <mergeCell ref="N464:T465"/>
    <mergeCell ref="U464:V465"/>
    <mergeCell ref="W464:W465"/>
    <mergeCell ref="AB457:AE457"/>
    <mergeCell ref="L458:M458"/>
    <mergeCell ref="N458:T458"/>
    <mergeCell ref="U458:V458"/>
    <mergeCell ref="X458:Y458"/>
    <mergeCell ref="W176:Y176"/>
    <mergeCell ref="Z176:AB176"/>
    <mergeCell ref="Z458:AA458"/>
    <mergeCell ref="AB458:AE458"/>
    <mergeCell ref="K459:K460"/>
    <mergeCell ref="L459:M460"/>
    <mergeCell ref="X464:Y465"/>
    <mergeCell ref="AF167:AG167"/>
    <mergeCell ref="AC168:AE168"/>
    <mergeCell ref="AF168:AG168"/>
    <mergeCell ref="AC169:AE169"/>
    <mergeCell ref="AF169:AG169"/>
    <mergeCell ref="AC171:AE171"/>
    <mergeCell ref="AF171:AG171"/>
    <mergeCell ref="AC173:AE173"/>
    <mergeCell ref="AF173:AG173"/>
    <mergeCell ref="AC175:AE175"/>
    <mergeCell ref="AF175:AG175"/>
    <mergeCell ref="AC177:AE177"/>
    <mergeCell ref="AF177:AG177"/>
    <mergeCell ref="W167:Y167"/>
    <mergeCell ref="Z167:AB167"/>
    <mergeCell ref="W169:Y169"/>
    <mergeCell ref="Z169:AB169"/>
    <mergeCell ref="W168:Y168"/>
    <mergeCell ref="Z168:AB168"/>
    <mergeCell ref="W171:Y171"/>
    <mergeCell ref="Z171:AB171"/>
    <mergeCell ref="W172:Y172"/>
    <mergeCell ref="Z172:AB172"/>
    <mergeCell ref="W170:Y170"/>
    <mergeCell ref="Z170:AB170"/>
    <mergeCell ref="W173:Y173"/>
    <mergeCell ref="W174:Y174"/>
    <mergeCell ref="Z173:AB173"/>
    <mergeCell ref="Z174:AB174"/>
    <mergeCell ref="W175:Y175"/>
    <mergeCell ref="Z175:AB175"/>
    <mergeCell ref="AF172:AG172"/>
    <mergeCell ref="AH184:AI184"/>
    <mergeCell ref="AH185:AI185"/>
    <mergeCell ref="AH186:AI186"/>
    <mergeCell ref="W179:Y179"/>
    <mergeCell ref="Z179:AB179"/>
    <mergeCell ref="W180:Y180"/>
    <mergeCell ref="Z180:AB180"/>
    <mergeCell ref="W181:Y181"/>
    <mergeCell ref="Z181:AB181"/>
    <mergeCell ref="W182:Y182"/>
    <mergeCell ref="Z182:AB182"/>
    <mergeCell ref="W183:Y183"/>
    <mergeCell ref="Z183:AB183"/>
    <mergeCell ref="W184:Y184"/>
    <mergeCell ref="Z184:AB184"/>
    <mergeCell ref="W185:Y185"/>
    <mergeCell ref="Z185:AB185"/>
    <mergeCell ref="W186:Y186"/>
    <mergeCell ref="Z186:AB186"/>
    <mergeCell ref="AF182:AG182"/>
    <mergeCell ref="AC180:AE180"/>
    <mergeCell ref="AF180:AG180"/>
    <mergeCell ref="AC183:AE183"/>
    <mergeCell ref="AF183:AG183"/>
    <mergeCell ref="AC184:AE184"/>
    <mergeCell ref="AF184:AG184"/>
    <mergeCell ref="AC185:AE185"/>
    <mergeCell ref="AF185:AG185"/>
    <mergeCell ref="AC186:AE186"/>
    <mergeCell ref="AF186:AG186"/>
    <mergeCell ref="AC179:AE179"/>
    <mergeCell ref="AF179:AG179"/>
    <mergeCell ref="AH167:AI167"/>
    <mergeCell ref="AH168:AI168"/>
    <mergeCell ref="AH169:AI169"/>
    <mergeCell ref="AH170:AI170"/>
    <mergeCell ref="AH171:AI171"/>
    <mergeCell ref="AH172:AI172"/>
    <mergeCell ref="AH173:AI173"/>
    <mergeCell ref="AH174:AI174"/>
    <mergeCell ref="AH175:AI175"/>
    <mergeCell ref="AH176:AI176"/>
    <mergeCell ref="AH177:AI177"/>
    <mergeCell ref="AH178:AI178"/>
    <mergeCell ref="AH179:AI179"/>
    <mergeCell ref="AH180:AI180"/>
    <mergeCell ref="AH181:AI181"/>
    <mergeCell ref="AH182:AI182"/>
    <mergeCell ref="AH183:AI183"/>
  </mergeCells>
  <phoneticPr fontId="1" type="noConversion"/>
  <conditionalFormatting sqref="H22:K22">
    <cfRule type="expression" dxfId="34" priority="26">
      <formula>$H$22="ERROR"</formula>
    </cfRule>
  </conditionalFormatting>
  <conditionalFormatting sqref="H23:K23">
    <cfRule type="expression" dxfId="33" priority="25">
      <formula>$H$23="ERROR"</formula>
    </cfRule>
  </conditionalFormatting>
  <conditionalFormatting sqref="H287:AD346">
    <cfRule type="expression" dxfId="32" priority="45">
      <formula>$H287="합계"</formula>
    </cfRule>
  </conditionalFormatting>
  <conditionalFormatting sqref="I167:V186">
    <cfRule type="expression" dxfId="31" priority="6">
      <formula>$H167=0</formula>
    </cfRule>
  </conditionalFormatting>
  <conditionalFormatting sqref="I188:AM197">
    <cfRule type="expression" dxfId="30" priority="21">
      <formula>$H188=0</formula>
    </cfRule>
  </conditionalFormatting>
  <conditionalFormatting sqref="I199:AM208">
    <cfRule type="expression" dxfId="29" priority="30">
      <formula>$H199=0</formula>
    </cfRule>
  </conditionalFormatting>
  <conditionalFormatting sqref="I210:AM219">
    <cfRule type="expression" dxfId="28" priority="29">
      <formula>$H210=0</formula>
    </cfRule>
  </conditionalFormatting>
  <conditionalFormatting sqref="I221:AM230">
    <cfRule type="expression" dxfId="27" priority="28">
      <formula>$H221=0</formula>
    </cfRule>
  </conditionalFormatting>
  <conditionalFormatting sqref="I232:AM241">
    <cfRule type="expression" dxfId="26" priority="39">
      <formula>$H232=0</formula>
    </cfRule>
  </conditionalFormatting>
  <conditionalFormatting sqref="I243:AM252">
    <cfRule type="expression" dxfId="25" priority="38">
      <formula>$H243=0</formula>
    </cfRule>
  </conditionalFormatting>
  <conditionalFormatting sqref="I255:AM264">
    <cfRule type="expression" dxfId="24" priority="35">
      <formula>$H255=0</formula>
    </cfRule>
  </conditionalFormatting>
  <conditionalFormatting sqref="W167:AI186">
    <cfRule type="expression" dxfId="23" priority="1">
      <formula>$AN167=0</formula>
    </cfRule>
  </conditionalFormatting>
  <conditionalFormatting sqref="AF356:AH357">
    <cfRule type="expression" dxfId="22" priority="27">
      <formula>$AF$356="일치"</formula>
    </cfRule>
    <cfRule type="expression" dxfId="21" priority="31">
      <formula>$AF$356="불일치"</formula>
    </cfRule>
  </conditionalFormatting>
  <conditionalFormatting sqref="AJ167:AM186">
    <cfRule type="expression" dxfId="20" priority="5">
      <formula>$H167=0</formula>
    </cfRule>
  </conditionalFormatting>
  <dataValidations xWindow="365" yWindow="436" count="46">
    <dataValidation type="whole" allowBlank="1" showInputMessage="1" showErrorMessage="1" sqref="H21:K21">
      <formula1>0</formula1>
      <formula2>100000000000000</formula2>
    </dataValidation>
    <dataValidation type="textLength" allowBlank="1" showInputMessage="1" showErrorMessage="1" sqref="AD25:AG27">
      <formula1>1</formula1>
      <formula2>180</formula2>
    </dataValidation>
    <dataValidation type="textLength" allowBlank="1" showInputMessage="1" showErrorMessage="1" sqref="AA40:AK46">
      <formula1>1</formula1>
      <formula2>400</formula2>
    </dataValidation>
    <dataValidation type="whole" errorStyle="information" allowBlank="1" showInputMessage="1" showErrorMessage="1" errorTitle="입력오류" error="년도는 YYYY형식으로 입력해야합니다." sqref="H105:I105">
      <formula1>1800</formula1>
      <formula2>9999</formula2>
    </dataValidation>
    <dataValidation type="whole" errorStyle="information" allowBlank="1" showInputMessage="1" showErrorMessage="1" errorTitle="입력오류" error="1~12월 사이의 숫자를 입력해야 합니다." sqref="K105">
      <formula1>1</formula1>
      <formula2>12</formula2>
    </dataValidation>
    <dataValidation type="whole" errorStyle="information" allowBlank="1" showInputMessage="1" showErrorMessage="1" errorTitle="입력오류" error="1~31일 사이의 숫자를 입력해야 합니다." sqref="M105">
      <formula1>1</formula1>
      <formula2>31</formula2>
    </dataValidation>
    <dataValidation type="whole" allowBlank="1" showInputMessage="1" showErrorMessage="1" errorTitle="입력오류" error="숫자만 입력하시기 바랍니다." sqref="H20:K20">
      <formula1>0</formula1>
      <formula2>9.99999999999999E+26</formula2>
    </dataValidation>
    <dataValidation type="whole" errorStyle="information" allowBlank="1" showInputMessage="1" showErrorMessage="1" errorTitle="입력오류" error="숫자만 입력하시기 바랍니다." sqref="H125:T125">
      <formula1>0</formula1>
      <formula2>999999999</formula2>
    </dataValidation>
    <dataValidation type="whole" allowBlank="1" showInputMessage="1" showErrorMessage="1" errorTitle="입력오류" error="정부지원금은 10억원(1,000,000천원)을 초과할 수 없습니다. " promptTitle="입력방법" prompt="중소기업의 경우 정부지원금 60%, 중견기업의 경우 정부지원금 50%까지 가능합니다." sqref="H19:K19">
      <formula1>0</formula1>
      <formula2>1000000</formula2>
    </dataValidation>
    <dataValidation type="whole" errorStyle="information" allowBlank="1" showInputMessage="1" showErrorMessage="1" errorTitle="입력오류" error="YYYY형식에 맞춰 입력하시기 바랍니다. (예시, 2024)" sqref="H16:I16 P16:Q16 H59:I60">
      <formula1>1800</formula1>
      <formula2>9999</formula2>
    </dataValidation>
    <dataValidation type="whole" errorStyle="information" allowBlank="1" showInputMessage="1" showErrorMessage="1" errorTitle="입력오류" error="1~12월까지의 숫자를 입력하시기 바랍니다." sqref="K16 S16 K59:K60">
      <formula1>1</formula1>
      <formula2>12</formula2>
    </dataValidation>
    <dataValidation type="whole" errorStyle="information" allowBlank="1" showInputMessage="1" showErrorMessage="1" errorTitle="입력오류" error="1~31일까지의 숫자를 입력하시기 바랍니다." sqref="M16 U16 M59:M60">
      <formula1>1</formula1>
      <formula2>31</formula2>
    </dataValidation>
    <dataValidation allowBlank="1" showInputMessage="1" showErrorMessage="1" promptTitle="입력방법" prompt="셀 크기에 맞춰 내용을 입력하시기 바랍니다. 셀 크기를 벗어나게 되면 출력시 글자가 잘릴 수 있습니다." sqref="H126:T126 H25:X27 H48:X50 H52:X54 H106:U122 H40:X46"/>
    <dataValidation allowBlank="1" showInputMessage="1" showErrorMessage="1" promptTitle="텍스트 입력란" prompt="텍스트 입력란으로 셀크기에 맞춰 간단하게 작성하시기 바랍니다._x000a_*별도 내용을 작성하지 않을 경우 하이픈(-)을 작성해 주시기 바랍니다." sqref="M255:V264 M167:V186 M188:V197 M199:V208 M210:V219 M221:V230 M232:V241 M243:V252"/>
    <dataValidation type="custom" allowBlank="1" showInputMessage="1" showErrorMessage="1" errorTitle="입력오류" error="온실가스 저감의 경우 개선전 수치가 개선후 수치보다 커야합니다." promptTitle="수치 입력란" prompt="수치 입력란으로 작성한 수치는 추후 변경이 불가능 하므로 신중하게 작성하시기 바랍니다." sqref="W167 W169:W186 W168:Y168">
      <formula1>$Z167&lt;$W167</formula1>
    </dataValidation>
    <dataValidation allowBlank="1" showInputMessage="1" showErrorMessage="1" promptTitle="수치 입력란" prompt="수치 입력란으로 작성한 수치는 추후 변경이 불가능 하므로 신중하게 작성하시기 바랍니다." sqref="W243:AB252 W255:AB266"/>
    <dataValidation type="custom" errorStyle="information" allowBlank="1" showInputMessage="1" showErrorMessage="1" errorTitle="입력오류" error="경제적효과는 개선 후 값이 개선전보다 커야합니다." promptTitle="수치 입력란" prompt="수치 입력란으로 작성한 수치는 추후 변경이 불가능 하므로 신중하게 작성하시기 바랍니다." sqref="Z267:AB268">
      <formula1>Z267&gt;W267</formula1>
    </dataValidation>
    <dataValidation allowBlank="1" showInputMessage="1" showErrorMessage="1" promptTitle="일반용역비 내역" prompt="일반용역비 내역(컨설팅 비용, 정산관련 검증용역비 등)만 입력하시길 바랍니다." sqref="N425:Q432"/>
    <dataValidation allowBlank="1" showInputMessage="1" showErrorMessage="1" promptTitle="일반수용비 내역" prompt="일반수용비 내역(시험분석수수료 등)만 입력하시기 바랍니다. _x000a_" sqref="N433:Q440"/>
    <dataValidation type="textLength" errorStyle="information" operator="equal" allowBlank="1" showInputMessage="1" showErrorMessage="1" errorTitle="입력방법" error="사업자등록번호를 하이픈을제외하고 숫자(10자리)만 입력하시기 바랍니다." promptTitle="입력방법" prompt="사업자등록번호를 하이픈을제외하고 숫자(10자리)만 입력하시기 바랍니다. _x000a_*첫번째 숫자가 '0'일 경우 오류메시지 팝업창이 뜹니다. 확인버튼을 누르시기 바랍니다." sqref="AA120:AH120">
      <formula1>10</formula1>
    </dataValidation>
    <dataValidation type="list" allowBlank="1" showInputMessage="1" showErrorMessage="1" promptTitle="입력방법" prompt="시/도를 선택하여 주시기 바랍니다." sqref="J64 J91">
      <formula1>시도</formula1>
    </dataValidation>
    <dataValidation type="list" allowBlank="1" showInputMessage="1" showErrorMessage="1" promptTitle="입력방법" prompt="시/군/구를 선택하여 주시기 바랍니다." sqref="J65:O65">
      <formula1>INDIRECT($J$64)</formula1>
    </dataValidation>
    <dataValidation allowBlank="1" showInputMessage="1" showErrorMessage="1" promptTitle="입력방법" prompt="읍/면/동을 포함한 나머지 주소를 작성해주시기 바랍니다. " sqref="J66 J93"/>
    <dataValidation allowBlank="1" showInputMessage="1" showErrorMessage="1" promptTitle="입력방법" prompt="사업을 수행할 책임자 성명을 입력해주시기 바랍니다." sqref="AA122:AH122 AA119:AH119"/>
    <dataValidation type="textLength" operator="equal" allowBlank="1" showInputMessage="1" showErrorMessage="1" sqref="J68:O68 J95:O95">
      <formula1>5</formula1>
    </dataValidation>
    <dataValidation allowBlank="1" showInputMessage="1" showErrorMessage="1" promptTitle="입력방법" prompt="사업수행책임자의 부서/직책을 입력하시기 바랍니다." sqref="AA123:AH123"/>
    <dataValidation operator="equal" allowBlank="1" showInputMessage="1" showErrorMessage="1" promptTitle="입력방법" prompt="사업수행책임자의 사무실 전화번호를 입력해주시기 바랍니다._x000a_*하이픈(-)을 제외하고 입력하시기 바랍니다." sqref="H73:T73"/>
    <dataValidation operator="equal" allowBlank="1" showInputMessage="1" showErrorMessage="1" promptTitle="입력방법" prompt="사업수행책임자의 휴대전화번호를 입력해주시기 바랍니다._x000a_*하이픈(-)을 제외하고 입력하시기 바랍니다." sqref="H74:T74"/>
    <dataValidation type="textLength" operator="equal" allowBlank="1" showInputMessage="1" showErrorMessage="1" errorTitle="입력방법" error="법인등록번호를 하이픈을제외하고 숫자(13자리)만 입력하시기 바랍니다." promptTitle="입력방법" prompt="법인등록번호를 하이픈을제외하고 숫자(13자리)만 입력하시기 바랍니다." sqref="H63:T63">
      <formula1>13</formula1>
    </dataValidation>
    <dataValidation type="textLength" operator="equal" allowBlank="1" showInputMessage="1" showErrorMessage="1" errorTitle="입력방법" error="사업자등록번호를 하이픈을제외하고 숫자(10자리)만 입력하시기 바랍니다." promptTitle="입력방법" prompt="사업자등록번호를 하이픈을제외하고 숫자(10자리)만 입력하시기 바랍니다. " sqref="H62:T62 H84:T84">
      <formula1>10</formula1>
    </dataValidation>
    <dataValidation type="custom" allowBlank="1" showInputMessage="1" showErrorMessage="1" errorTitle="입력오류" error="온실가스 저감의 경우 개선 후 수치가 개선 전보다 작아야합니다." promptTitle="수치 입력란" prompt="수치 입력란으로 작성한 수치는 추후 변경이 불가능 하므로 신중하게 작성하시기 바랍니다." sqref="Z167 Z169:Z186 Z168:AB168">
      <formula1>$Z167&lt;$W167</formula1>
    </dataValidation>
    <dataValidation type="custom" allowBlank="1" showInputMessage="1" showErrorMessage="1" errorTitle="입력오류" error="ICT설비는 개선전 수치보다 개선후 수치가 커야합니다." promptTitle="수치 입력란" prompt="수치 입력란으로 작성한 수치는 추후 변경이 불가능 하므로 신중하게 작성하시기 바랍니다." sqref="Z188:AB197">
      <formula1>Z188&gt;W188</formula1>
    </dataValidation>
    <dataValidation type="custom" allowBlank="1" showInputMessage="1" showErrorMessage="1" errorTitle="입력오류" error="ICT설비는 개선전 수치보다 개선후 수치가 커야합니다." promptTitle="수치 입력란" prompt="수치 입력란으로 작성한 수치는 추후 변경이 불가능 하므로 신중하게 작성하시기 바랍니다." sqref="W188:Y197">
      <formula1>W188&lt;Z188</formula1>
    </dataValidation>
    <dataValidation type="custom" allowBlank="1" showInputMessage="1" showErrorMessage="1" errorTitle="입력오류" error="대기오염 저감의 경우 개선전 수치가 개선후 수치보다 커야합니다." promptTitle="수치 입력란" prompt="수치 입력란으로 작성한 수치는 추후 변경이 불가능 하므로 신중하게 작성하시기 바랍니다." sqref="W199:Y208">
      <formula1>$Z199&lt;$W199</formula1>
    </dataValidation>
    <dataValidation type="custom" allowBlank="1" showInputMessage="1" showErrorMessage="1" errorTitle="입력오류" error="대기오염 저감의 경우 개선 후 수치가 개선 전보다 작아야합니다." promptTitle="수치 입력란" prompt="수치 입력란으로 작성한 수치는 추후 변경이 불가능 하므로 신중하게 작성하시기 바랍니다." sqref="Z199:AB208">
      <formula1>$Z199&lt;$W199</formula1>
    </dataValidation>
    <dataValidation type="custom" allowBlank="1" showInputMessage="1" showErrorMessage="1" errorTitle="입력오류" error="수질오염 저감의 경우 개선전 수치가 개선후 수치보다 커야합니다." promptTitle="수치 입력란" prompt="수치 입력란으로 작성한 수치는 추후 변경이 불가능 하므로 신중하게 작성하시기 바랍니다." sqref="W210:Y219">
      <formula1>$Z210&lt;$W210</formula1>
    </dataValidation>
    <dataValidation type="custom" allowBlank="1" showInputMessage="1" showErrorMessage="1" errorTitle="입력오류" error="수질오염 저감의 경우 개선 후 수치가 개선 전보다 작아야합니다." promptTitle="수치 입력란" prompt="수치 입력란으로 작성한 수치는 추후 변경이 불가능 하므로 신중하게 작성하시기 바랍니다." sqref="Z210:AB219">
      <formula1>$Z210&lt;$W210</formula1>
    </dataValidation>
    <dataValidation type="custom" allowBlank="1" showInputMessage="1" showErrorMessage="1" errorTitle="입력오류" error="폐기물배출 저감의 경우 개선전 수치가 개선후 수치보다 커야합니다." promptTitle="수치 입력란" prompt="수치 입력란으로 작성한 수치는 추후 변경이 불가능 하므로 신중하게 작성하시기 바랍니다." sqref="W221:Y230">
      <formula1>$Z221&lt;$W221</formula1>
    </dataValidation>
    <dataValidation type="custom" allowBlank="1" showInputMessage="1" showErrorMessage="1" errorTitle="입력오류" error="폐기물배출 저감의 경우 개선 후 수치가 개선 전보다 작아야합니다." promptTitle="수치 입력란" prompt="수치 입력란으로 작성한 수치는 추후 변경이 불가능 하므로 신중하게 작성하시기 바랍니다." sqref="Z221:AB230">
      <formula1>$Z221&lt;$W221</formula1>
    </dataValidation>
    <dataValidation type="custom" allowBlank="1" showInputMessage="1" showErrorMessage="1" errorTitle="입력오류" error="자원순환의 경우 개선 후 수치가 개선 전 수치보다 커야합니다." promptTitle="수치 입력란" prompt="수치 입력란으로 작성한 수치는 추후 변경이 불가능 하므로 신중하게 작성하시기 바랍니다." sqref="W232:Y241">
      <formula1>W232&lt;Z232</formula1>
    </dataValidation>
    <dataValidation type="custom" allowBlank="1" showInputMessage="1" showErrorMessage="1" errorTitle="입력오류" error="자원순환의 경우 개선 후 수치가 개선 전 수치보다 커야합니다." promptTitle="수치 입력란" prompt="수치 입력란으로 작성한 수치는 추후 변경이 불가능 하므로 신중하게 작성하시기 바랍니다." sqref="Z232:AB241">
      <formula1>Z232&gt;W232</formula1>
    </dataValidation>
    <dataValidation allowBlank="1" showInputMessage="1" showErrorMessage="1" promptTitle="입력방법" prompt="각 설비별 갯수를 입력하시기 바랍니다." sqref="T361:T420"/>
    <dataValidation operator="equal" allowBlank="1" showInputMessage="1" showErrorMessage="1" promptTitle="입력방법" prompt="담당자의 사무실 전화번호를 입력해주시기 바랍니다._x000a_*하이픈(-)을 제외하고 입력하시기 바랍니다." sqref="H89:T89 H78:T78"/>
    <dataValidation operator="equal" allowBlank="1" showInputMessage="1" showErrorMessage="1" promptTitle="입력방법" prompt="담당자의 휴대전화번호를 입력해주시기 바랍니다._x000a_*하이픈(-)을 제외하고 입력하시기 바랍니다." sqref="H90:T90 H79:T79"/>
    <dataValidation type="list" allowBlank="1" showInputMessage="1" showErrorMessage="1" promptTitle="입력방법" prompt="시/군/구를 선택하여 주시기 바랍니다." sqref="J92:O92">
      <formula1>INDIRECT($J$91)</formula1>
    </dataValidation>
    <dataValidation type="custom" allowBlank="1" showInputMessage="1" showErrorMessage="1" errorTitle="입력오류" error="경제적효과의 경우 사업전보다 사업후가 커야합니다." promptTitle="수치 입력란" prompt="수치 입력란으로 작성한 수치는 추후 변경이 불가능 하므로 신중하게 작성하시기 바랍니다." sqref="W267:Y268">
      <formula1>W267&lt;Z267</formula1>
    </dataValidation>
  </dataValidations>
  <pageMargins left="0.25" right="0.25" top="0.75" bottom="0.75" header="0.3" footer="0.3"/>
  <pageSetup paperSize="9" scale="11" fitToHeight="0" orientation="portrait" r:id="rId1"/>
  <legacyDrawing r:id="rId2"/>
  <extLst>
    <ext xmlns:x14="http://schemas.microsoft.com/office/spreadsheetml/2009/9/main" uri="{CCE6A557-97BC-4b89-ADB6-D9C93CAAB3DF}">
      <x14:dataValidations xmlns:xm="http://schemas.microsoft.com/office/excel/2006/main" xWindow="365" yWindow="436" count="7">
        <x14:dataValidation type="list" allowBlank="1" showInputMessage="1" showErrorMessage="1">
          <x14:formula1>
            <xm:f>목록시트!$C$3:$C$9</xm:f>
          </x14:formula1>
          <xm:sqref>AF255:AG264</xm:sqref>
        </x14:dataValidation>
        <x14:dataValidation type="list" allowBlank="1" showInputMessage="1" showErrorMessage="1" promptTitle="단위설정" prompt="설비에 맞는 단위를 선택하여 주시기 바랍니다. 단위가 없을 경우 비워두시면 됩니다. (악취 = &quot;배&quot;, 소음 = &quot;dB&quot;)">
          <x14:formula1>
            <xm:f>목록시트!$C$3:$C$9</xm:f>
          </x14:formula1>
          <xm:sqref>AF243:AG252</xm:sqref>
        </x14:dataValidation>
        <x14:dataValidation type="list" allowBlank="1" showInputMessage="1" showErrorMessage="1">
          <x14:formula1>
            <xm:f>목록시트!#REF!</xm:f>
          </x14:formula1>
          <xm:sqref>Y273:AD273</xm:sqref>
        </x14:dataValidation>
        <x14:dataValidation type="list" allowBlank="1" showInputMessage="1" showErrorMessage="1" promptTitle="세목" prompt="자산취득비, 설계비, 시설비 목록 중 선택">
          <x14:formula1>
            <xm:f>목록시트!$E$3:$E$5</xm:f>
          </x14:formula1>
          <xm:sqref>K361:M420</xm:sqref>
        </x14:dataValidation>
        <x14:dataValidation type="list" allowBlank="1" showInputMessage="1" showErrorMessage="1">
          <x14:formula1>
            <xm:f>목록시트!$A$3:$A$4</xm:f>
          </x14:formula1>
          <xm:sqref>H18:K18</xm:sqref>
        </x14:dataValidation>
        <x14:dataValidation type="list" allowBlank="1" showInputMessage="1" showErrorMessage="1" promptTitle="첨부서류 해당여부" prompt="첨부서류를 확인 후 제출, 비제출에 체크하여주시기 바랍니다._x000a_※필수서류의 경우 반드시 체크(√)하셔야합니다.">
          <x14:formula1>
            <xm:f>목록시트!$A$7:$A$8</xm:f>
          </x14:formula1>
          <xm:sqref>X449:AA491</xm:sqref>
        </x14:dataValidation>
        <x14:dataValidation type="list" allowBlank="1" showInputMessage="1" showErrorMessage="1">
          <x14:formula1>
            <xm:f>목록시트!$A$7</xm:f>
          </x14:formula1>
          <xm:sqref>I524 N524 P524 T524 P526 T526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4"/>
  <sheetViews>
    <sheetView view="pageBreakPreview" topLeftCell="A410" zoomScaleNormal="100" zoomScaleSheetLayoutView="100" workbookViewId="0">
      <selection activeCell="AA500" sqref="AA500"/>
    </sheetView>
  </sheetViews>
  <sheetFormatPr defaultColWidth="9" defaultRowHeight="16.5"/>
  <cols>
    <col min="1" max="25" width="3.625" customWidth="1"/>
  </cols>
  <sheetData>
    <row r="1" spans="2:25" ht="17.25" thickBot="1"/>
    <row r="2" spans="2:25">
      <c r="B2" s="866" t="s">
        <v>579</v>
      </c>
      <c r="C2" s="867"/>
      <c r="D2" s="867"/>
      <c r="E2" s="867"/>
      <c r="F2" s="867"/>
      <c r="G2" s="867"/>
      <c r="H2" s="867"/>
      <c r="I2" s="867"/>
      <c r="J2" s="867"/>
      <c r="K2" s="867"/>
      <c r="L2" s="867"/>
      <c r="M2" s="867"/>
      <c r="N2" s="867"/>
      <c r="O2" s="867"/>
      <c r="P2" s="867"/>
      <c r="Q2" s="867"/>
      <c r="R2" s="867"/>
      <c r="S2" s="867"/>
      <c r="T2" s="867"/>
      <c r="U2" s="867"/>
      <c r="V2" s="867"/>
      <c r="W2" s="867"/>
      <c r="X2" s="867"/>
      <c r="Y2" s="868"/>
    </row>
    <row r="3" spans="2:25" ht="17.25" thickBot="1">
      <c r="B3" s="869"/>
      <c r="C3" s="870"/>
      <c r="D3" s="870"/>
      <c r="E3" s="870"/>
      <c r="F3" s="870"/>
      <c r="G3" s="870"/>
      <c r="H3" s="870"/>
      <c r="I3" s="870"/>
      <c r="J3" s="870"/>
      <c r="K3" s="870"/>
      <c r="L3" s="870"/>
      <c r="M3" s="870"/>
      <c r="N3" s="870"/>
      <c r="O3" s="870"/>
      <c r="P3" s="870"/>
      <c r="Q3" s="870"/>
      <c r="R3" s="870"/>
      <c r="S3" s="870"/>
      <c r="T3" s="870"/>
      <c r="U3" s="870"/>
      <c r="V3" s="870"/>
      <c r="W3" s="870"/>
      <c r="X3" s="870"/>
      <c r="Y3" s="871"/>
    </row>
    <row r="4" spans="2:25" ht="16.5" customHeight="1" thickTop="1">
      <c r="B4" s="884" t="s">
        <v>504</v>
      </c>
      <c r="C4" s="885"/>
      <c r="D4" s="872" t="s">
        <v>580</v>
      </c>
      <c r="E4" s="872"/>
      <c r="F4" s="872"/>
      <c r="G4" s="872"/>
      <c r="H4" s="872"/>
      <c r="I4" s="872" t="str">
        <f>기업명!H58</f>
        <v>㈜현대공업</v>
      </c>
      <c r="J4" s="872"/>
      <c r="K4" s="872"/>
      <c r="L4" s="872"/>
      <c r="M4" s="872"/>
      <c r="N4" s="872"/>
      <c r="O4" s="872" t="s">
        <v>254</v>
      </c>
      <c r="P4" s="872"/>
      <c r="Q4" s="872"/>
      <c r="R4" s="872"/>
      <c r="S4" s="872"/>
      <c r="T4" s="873">
        <f>기업명!H62</f>
        <v>6108101557</v>
      </c>
      <c r="U4" s="873"/>
      <c r="V4" s="873"/>
      <c r="W4" s="873"/>
      <c r="X4" s="873"/>
      <c r="Y4" s="874"/>
    </row>
    <row r="5" spans="2:25">
      <c r="B5" s="859"/>
      <c r="C5" s="860"/>
      <c r="D5" s="840"/>
      <c r="E5" s="840"/>
      <c r="F5" s="840"/>
      <c r="G5" s="840"/>
      <c r="H5" s="840"/>
      <c r="I5" s="840"/>
      <c r="J5" s="840"/>
      <c r="K5" s="840"/>
      <c r="L5" s="840"/>
      <c r="M5" s="840"/>
      <c r="N5" s="840"/>
      <c r="O5" s="840"/>
      <c r="P5" s="840"/>
      <c r="Q5" s="840"/>
      <c r="R5" s="840"/>
      <c r="S5" s="840"/>
      <c r="T5" s="875"/>
      <c r="U5" s="875"/>
      <c r="V5" s="875"/>
      <c r="W5" s="875"/>
      <c r="X5" s="875"/>
      <c r="Y5" s="876"/>
    </row>
    <row r="6" spans="2:25">
      <c r="B6" s="859"/>
      <c r="C6" s="860"/>
      <c r="D6" s="840" t="s">
        <v>581</v>
      </c>
      <c r="E6" s="840"/>
      <c r="F6" s="840"/>
      <c r="G6" s="840"/>
      <c r="H6" s="840"/>
      <c r="I6" s="840" t="str">
        <f>기업명!H61</f>
        <v>강현석, 백상열</v>
      </c>
      <c r="J6" s="840"/>
      <c r="K6" s="840"/>
      <c r="L6" s="840"/>
      <c r="M6" s="840"/>
      <c r="N6" s="840"/>
      <c r="O6" s="840" t="s">
        <v>492</v>
      </c>
      <c r="P6" s="840"/>
      <c r="Q6" s="840"/>
      <c r="R6" s="840"/>
      <c r="S6" s="840"/>
      <c r="T6" s="895">
        <f>기업명!H63</f>
        <v>1812110001102</v>
      </c>
      <c r="U6" s="895"/>
      <c r="V6" s="895"/>
      <c r="W6" s="895"/>
      <c r="X6" s="895"/>
      <c r="Y6" s="896"/>
    </row>
    <row r="7" spans="2:25">
      <c r="B7" s="859"/>
      <c r="C7" s="860"/>
      <c r="D7" s="840"/>
      <c r="E7" s="840"/>
      <c r="F7" s="840"/>
      <c r="G7" s="840"/>
      <c r="H7" s="840"/>
      <c r="I7" s="840"/>
      <c r="J7" s="840"/>
      <c r="K7" s="840"/>
      <c r="L7" s="840"/>
      <c r="M7" s="840"/>
      <c r="N7" s="840"/>
      <c r="O7" s="840"/>
      <c r="P7" s="840"/>
      <c r="Q7" s="840"/>
      <c r="R7" s="840"/>
      <c r="S7" s="840"/>
      <c r="T7" s="895"/>
      <c r="U7" s="895"/>
      <c r="V7" s="895"/>
      <c r="W7" s="895"/>
      <c r="X7" s="895"/>
      <c r="Y7" s="896"/>
    </row>
    <row r="8" spans="2:25">
      <c r="B8" s="859"/>
      <c r="C8" s="860"/>
      <c r="D8" s="878" t="s">
        <v>583</v>
      </c>
      <c r="E8" s="879"/>
      <c r="F8" s="879"/>
      <c r="G8" s="879"/>
      <c r="H8" s="880"/>
      <c r="I8" s="134" t="str">
        <f>IF(기업명!$H$18=출력서식!J8, "■", "")</f>
        <v/>
      </c>
      <c r="J8" s="864" t="s">
        <v>584</v>
      </c>
      <c r="K8" s="864"/>
      <c r="L8" s="864"/>
      <c r="M8" s="864"/>
      <c r="N8" s="865"/>
      <c r="O8" s="840" t="s">
        <v>503</v>
      </c>
      <c r="P8" s="840"/>
      <c r="Q8" s="840"/>
      <c r="R8" s="840"/>
      <c r="S8" s="840"/>
      <c r="T8" s="840" t="str">
        <f>기업명!H69</f>
        <v>제조업 - 그 외 자동차용 신품 부품 제조업</v>
      </c>
      <c r="U8" s="840"/>
      <c r="V8" s="840"/>
      <c r="W8" s="840"/>
      <c r="X8" s="840"/>
      <c r="Y8" s="841"/>
    </row>
    <row r="9" spans="2:25">
      <c r="B9" s="859"/>
      <c r="C9" s="860"/>
      <c r="D9" s="881"/>
      <c r="E9" s="882"/>
      <c r="F9" s="882"/>
      <c r="G9" s="882"/>
      <c r="H9" s="883"/>
      <c r="I9" s="134" t="str">
        <f>IF(기업명!$H$18=출력서식!J9, "■", "")</f>
        <v>■</v>
      </c>
      <c r="J9" s="864" t="s">
        <v>585</v>
      </c>
      <c r="K9" s="864"/>
      <c r="L9" s="864"/>
      <c r="M9" s="864"/>
      <c r="N9" s="865"/>
      <c r="O9" s="840"/>
      <c r="P9" s="840"/>
      <c r="Q9" s="840"/>
      <c r="R9" s="840"/>
      <c r="S9" s="840"/>
      <c r="T9" s="840"/>
      <c r="U9" s="840"/>
      <c r="V9" s="840"/>
      <c r="W9" s="840"/>
      <c r="X9" s="840"/>
      <c r="Y9" s="841"/>
    </row>
    <row r="10" spans="2:25">
      <c r="B10" s="859"/>
      <c r="C10" s="860"/>
      <c r="D10" s="878" t="s">
        <v>582</v>
      </c>
      <c r="E10" s="879"/>
      <c r="F10" s="879"/>
      <c r="G10" s="879"/>
      <c r="H10" s="880"/>
      <c r="I10" s="878" t="str">
        <f>"(우: " &amp; 기업명!J68 &amp; ")"</f>
        <v>(우: 44222)</v>
      </c>
      <c r="J10" s="879"/>
      <c r="K10" s="880"/>
      <c r="L10" s="878" t="str">
        <f>기업명!J64 &amp; " " &amp; 기업명!J65 &amp; " " &amp; 기업명!J66</f>
        <v>울산광역시 북구 매곡산업5길 28</v>
      </c>
      <c r="M10" s="879"/>
      <c r="N10" s="879"/>
      <c r="O10" s="879"/>
      <c r="P10" s="879"/>
      <c r="Q10" s="879"/>
      <c r="R10" s="879"/>
      <c r="S10" s="879"/>
      <c r="T10" s="879"/>
      <c r="U10" s="879"/>
      <c r="V10" s="879"/>
      <c r="W10" s="879"/>
      <c r="X10" s="879"/>
      <c r="Y10" s="890"/>
    </row>
    <row r="11" spans="2:25">
      <c r="B11" s="859"/>
      <c r="C11" s="860"/>
      <c r="D11" s="881"/>
      <c r="E11" s="882"/>
      <c r="F11" s="882"/>
      <c r="G11" s="882"/>
      <c r="H11" s="883"/>
      <c r="I11" s="881"/>
      <c r="J11" s="882"/>
      <c r="K11" s="883"/>
      <c r="L11" s="881"/>
      <c r="M11" s="882"/>
      <c r="N11" s="882"/>
      <c r="O11" s="882"/>
      <c r="P11" s="882"/>
      <c r="Q11" s="882"/>
      <c r="R11" s="882"/>
      <c r="S11" s="882"/>
      <c r="T11" s="882"/>
      <c r="U11" s="882"/>
      <c r="V11" s="882"/>
      <c r="W11" s="882"/>
      <c r="X11" s="882"/>
      <c r="Y11" s="891"/>
    </row>
    <row r="12" spans="2:25">
      <c r="B12" s="859"/>
      <c r="C12" s="860"/>
      <c r="D12" s="878" t="s">
        <v>494</v>
      </c>
      <c r="E12" s="879"/>
      <c r="F12" s="879"/>
      <c r="G12" s="879"/>
      <c r="H12" s="880"/>
      <c r="I12" s="840" t="s">
        <v>586</v>
      </c>
      <c r="J12" s="840"/>
      <c r="K12" s="840" t="str">
        <f>기업명!H70</f>
        <v>ㅇㅇㅇ</v>
      </c>
      <c r="L12" s="840"/>
      <c r="M12" s="840"/>
      <c r="N12" s="840"/>
      <c r="O12" s="840" t="s">
        <v>588</v>
      </c>
      <c r="P12" s="840"/>
      <c r="Q12" s="840"/>
      <c r="R12" s="840"/>
      <c r="S12" s="840" t="str">
        <f>기업명!H71</f>
        <v>ㅇㅇ팀/팀장</v>
      </c>
      <c r="T12" s="840"/>
      <c r="U12" s="840"/>
      <c r="V12" s="840"/>
      <c r="W12" s="840"/>
      <c r="X12" s="840"/>
      <c r="Y12" s="841"/>
    </row>
    <row r="13" spans="2:25">
      <c r="B13" s="859"/>
      <c r="C13" s="860"/>
      <c r="D13" s="892"/>
      <c r="E13" s="893"/>
      <c r="F13" s="893"/>
      <c r="G13" s="893"/>
      <c r="H13" s="894"/>
      <c r="I13" s="840" t="s">
        <v>587</v>
      </c>
      <c r="J13" s="840"/>
      <c r="K13" s="842" t="str">
        <f>기업명!H72</f>
        <v>abc@abc.co.kr</v>
      </c>
      <c r="L13" s="842"/>
      <c r="M13" s="842"/>
      <c r="N13" s="842"/>
      <c r="O13" s="840" t="s">
        <v>589</v>
      </c>
      <c r="P13" s="840"/>
      <c r="Q13" s="840"/>
      <c r="R13" s="840"/>
      <c r="S13" s="840" t="s">
        <v>590</v>
      </c>
      <c r="T13" s="840"/>
      <c r="U13" s="843" t="str">
        <f>기업명!H73</f>
        <v>052-000-0000</v>
      </c>
      <c r="V13" s="843"/>
      <c r="W13" s="843"/>
      <c r="X13" s="843"/>
      <c r="Y13" s="844"/>
    </row>
    <row r="14" spans="2:25">
      <c r="B14" s="859"/>
      <c r="C14" s="860"/>
      <c r="D14" s="881"/>
      <c r="E14" s="882"/>
      <c r="F14" s="882"/>
      <c r="G14" s="882"/>
      <c r="H14" s="883"/>
      <c r="I14" s="840"/>
      <c r="J14" s="840"/>
      <c r="K14" s="842"/>
      <c r="L14" s="842"/>
      <c r="M14" s="842"/>
      <c r="N14" s="842"/>
      <c r="O14" s="840"/>
      <c r="P14" s="840"/>
      <c r="Q14" s="840"/>
      <c r="R14" s="840"/>
      <c r="S14" s="845" t="s">
        <v>591</v>
      </c>
      <c r="T14" s="845"/>
      <c r="U14" s="846">
        <f>기업명!H74</f>
        <v>1000000000</v>
      </c>
      <c r="V14" s="846"/>
      <c r="W14" s="846"/>
      <c r="X14" s="846"/>
      <c r="Y14" s="847"/>
    </row>
    <row r="15" spans="2:25">
      <c r="B15" s="859"/>
      <c r="C15" s="860"/>
      <c r="D15" s="878" t="s">
        <v>592</v>
      </c>
      <c r="E15" s="879"/>
      <c r="F15" s="879"/>
      <c r="G15" s="879"/>
      <c r="H15" s="880"/>
      <c r="I15" s="840" t="s">
        <v>586</v>
      </c>
      <c r="J15" s="840"/>
      <c r="K15" s="840" t="str">
        <f>기업명!H75</f>
        <v>ㅇㅇㅇ</v>
      </c>
      <c r="L15" s="840"/>
      <c r="M15" s="840"/>
      <c r="N15" s="840"/>
      <c r="O15" s="840" t="s">
        <v>588</v>
      </c>
      <c r="P15" s="840"/>
      <c r="Q15" s="840"/>
      <c r="R15" s="840"/>
      <c r="S15" s="840" t="str">
        <f>기업명!H76</f>
        <v>ㅇㅇ팀/매니저</v>
      </c>
      <c r="T15" s="840"/>
      <c r="U15" s="840"/>
      <c r="V15" s="840"/>
      <c r="W15" s="840"/>
      <c r="X15" s="840"/>
      <c r="Y15" s="841"/>
    </row>
    <row r="16" spans="2:25">
      <c r="B16" s="859"/>
      <c r="C16" s="860"/>
      <c r="D16" s="892"/>
      <c r="E16" s="893"/>
      <c r="F16" s="893"/>
      <c r="G16" s="893"/>
      <c r="H16" s="894"/>
      <c r="I16" s="840" t="s">
        <v>587</v>
      </c>
      <c r="J16" s="840"/>
      <c r="K16" s="842" t="str">
        <f>기업명!H77</f>
        <v>abc@abc.co.kr</v>
      </c>
      <c r="L16" s="842"/>
      <c r="M16" s="842"/>
      <c r="N16" s="842"/>
      <c r="O16" s="840" t="s">
        <v>589</v>
      </c>
      <c r="P16" s="840"/>
      <c r="Q16" s="840"/>
      <c r="R16" s="840"/>
      <c r="S16" s="840" t="s">
        <v>590</v>
      </c>
      <c r="T16" s="840"/>
      <c r="U16" s="843" t="str">
        <f>기업명!H78</f>
        <v>052-000-0000</v>
      </c>
      <c r="V16" s="843"/>
      <c r="W16" s="843"/>
      <c r="X16" s="843"/>
      <c r="Y16" s="844"/>
    </row>
    <row r="17" spans="2:25">
      <c r="B17" s="859"/>
      <c r="C17" s="860"/>
      <c r="D17" s="881"/>
      <c r="E17" s="882"/>
      <c r="F17" s="882"/>
      <c r="G17" s="882"/>
      <c r="H17" s="883"/>
      <c r="I17" s="840"/>
      <c r="J17" s="840"/>
      <c r="K17" s="842"/>
      <c r="L17" s="842"/>
      <c r="M17" s="842"/>
      <c r="N17" s="842"/>
      <c r="O17" s="840"/>
      <c r="P17" s="840"/>
      <c r="Q17" s="840"/>
      <c r="R17" s="840"/>
      <c r="S17" s="845" t="s">
        <v>591</v>
      </c>
      <c r="T17" s="845"/>
      <c r="U17" s="846">
        <f>기업명!H79</f>
        <v>1000000000</v>
      </c>
      <c r="V17" s="846"/>
      <c r="W17" s="846"/>
      <c r="X17" s="846"/>
      <c r="Y17" s="847"/>
    </row>
    <row r="18" spans="2:25" ht="17.25" thickBot="1">
      <c r="B18" s="861"/>
      <c r="C18" s="862"/>
      <c r="D18" s="886" t="s">
        <v>593</v>
      </c>
      <c r="E18" s="887"/>
      <c r="F18" s="887"/>
      <c r="G18" s="887"/>
      <c r="H18" s="887"/>
      <c r="I18" s="887"/>
      <c r="J18" s="887"/>
      <c r="K18" s="887"/>
      <c r="L18" s="887"/>
      <c r="M18" s="887"/>
      <c r="N18" s="887"/>
      <c r="O18" s="887"/>
      <c r="P18" s="887"/>
      <c r="Q18" s="887"/>
      <c r="R18" s="887"/>
      <c r="S18" s="887"/>
      <c r="T18" s="888"/>
      <c r="U18" s="886">
        <f>기업명!H60</f>
        <v>0</v>
      </c>
      <c r="V18" s="887"/>
      <c r="W18" s="887"/>
      <c r="X18" s="887"/>
      <c r="Y18" s="889"/>
    </row>
    <row r="19" spans="2:25" ht="16.5" customHeight="1">
      <c r="B19" s="857" t="s">
        <v>507</v>
      </c>
      <c r="C19" s="858"/>
      <c r="D19" s="877" t="s">
        <v>505</v>
      </c>
      <c r="E19" s="877"/>
      <c r="F19" s="877"/>
      <c r="G19" s="877"/>
      <c r="H19" s="877"/>
      <c r="I19" s="877" t="str">
        <f>기업명!H82</f>
        <v>㈜ㅇㅇㅇ</v>
      </c>
      <c r="J19" s="877"/>
      <c r="K19" s="877"/>
      <c r="L19" s="877"/>
      <c r="M19" s="877"/>
      <c r="N19" s="877"/>
      <c r="O19" s="877" t="s">
        <v>254</v>
      </c>
      <c r="P19" s="877"/>
      <c r="Q19" s="877"/>
      <c r="R19" s="877"/>
      <c r="S19" s="877"/>
      <c r="T19" s="897">
        <f>기업명!H84</f>
        <v>1234567890</v>
      </c>
      <c r="U19" s="897"/>
      <c r="V19" s="897"/>
      <c r="W19" s="897"/>
      <c r="X19" s="897"/>
      <c r="Y19" s="898"/>
    </row>
    <row r="20" spans="2:25">
      <c r="B20" s="859"/>
      <c r="C20" s="860"/>
      <c r="D20" s="840"/>
      <c r="E20" s="840"/>
      <c r="F20" s="840"/>
      <c r="G20" s="840"/>
      <c r="H20" s="840"/>
      <c r="I20" s="840"/>
      <c r="J20" s="840"/>
      <c r="K20" s="840"/>
      <c r="L20" s="840"/>
      <c r="M20" s="840"/>
      <c r="N20" s="840"/>
      <c r="O20" s="840"/>
      <c r="P20" s="840"/>
      <c r="Q20" s="840"/>
      <c r="R20" s="840"/>
      <c r="S20" s="840"/>
      <c r="T20" s="875"/>
      <c r="U20" s="875"/>
      <c r="V20" s="875"/>
      <c r="W20" s="875"/>
      <c r="X20" s="875"/>
      <c r="Y20" s="876"/>
    </row>
    <row r="21" spans="2:25">
      <c r="B21" s="859"/>
      <c r="C21" s="860"/>
      <c r="D21" s="840" t="s">
        <v>581</v>
      </c>
      <c r="E21" s="840"/>
      <c r="F21" s="840"/>
      <c r="G21" s="840"/>
      <c r="H21" s="840"/>
      <c r="I21" s="840" t="str">
        <f>기업명!H83</f>
        <v>ㅇㅇㅇ</v>
      </c>
      <c r="J21" s="840"/>
      <c r="K21" s="840"/>
      <c r="L21" s="840"/>
      <c r="M21" s="840"/>
      <c r="N21" s="840"/>
      <c r="O21" s="840" t="s">
        <v>506</v>
      </c>
      <c r="P21" s="840"/>
      <c r="Q21" s="840"/>
      <c r="R21" s="840"/>
      <c r="S21" s="840"/>
      <c r="T21" s="840" t="str">
        <f>기업명!H85</f>
        <v>환경컨설팅업</v>
      </c>
      <c r="U21" s="840"/>
      <c r="V21" s="840"/>
      <c r="W21" s="840"/>
      <c r="X21" s="840"/>
      <c r="Y21" s="841"/>
    </row>
    <row r="22" spans="2:25">
      <c r="B22" s="859"/>
      <c r="C22" s="860"/>
      <c r="D22" s="840"/>
      <c r="E22" s="840"/>
      <c r="F22" s="840"/>
      <c r="G22" s="840"/>
      <c r="H22" s="840"/>
      <c r="I22" s="840"/>
      <c r="J22" s="840"/>
      <c r="K22" s="840"/>
      <c r="L22" s="840"/>
      <c r="M22" s="840"/>
      <c r="N22" s="840"/>
      <c r="O22" s="840"/>
      <c r="P22" s="840"/>
      <c r="Q22" s="840"/>
      <c r="R22" s="840"/>
      <c r="S22" s="840"/>
      <c r="T22" s="840"/>
      <c r="U22" s="840"/>
      <c r="V22" s="840"/>
      <c r="W22" s="840"/>
      <c r="X22" s="840"/>
      <c r="Y22" s="841"/>
    </row>
    <row r="23" spans="2:25">
      <c r="B23" s="859"/>
      <c r="C23" s="860"/>
      <c r="D23" s="863" t="s">
        <v>596</v>
      </c>
      <c r="E23" s="864"/>
      <c r="F23" s="864"/>
      <c r="G23" s="864"/>
      <c r="H23" s="865"/>
      <c r="I23" s="840" t="str">
        <f>"(우: " &amp; 기업명!J95 &amp; ")"</f>
        <v>(우: )</v>
      </c>
      <c r="J23" s="840"/>
      <c r="K23" s="840"/>
      <c r="L23" s="840" t="str">
        <f>기업명!J91 &amp; " " &amp; 기업명!J92 &amp; " " &amp; 기업명!J93</f>
        <v xml:space="preserve">  </v>
      </c>
      <c r="M23" s="840"/>
      <c r="N23" s="840"/>
      <c r="O23" s="840"/>
      <c r="P23" s="840"/>
      <c r="Q23" s="840"/>
      <c r="R23" s="840"/>
      <c r="S23" s="840"/>
      <c r="T23" s="840"/>
      <c r="U23" s="840"/>
      <c r="V23" s="840"/>
      <c r="W23" s="840"/>
      <c r="X23" s="840"/>
      <c r="Y23" s="841"/>
    </row>
    <row r="24" spans="2:25">
      <c r="B24" s="859"/>
      <c r="C24" s="860"/>
      <c r="D24" s="878" t="s">
        <v>592</v>
      </c>
      <c r="E24" s="879"/>
      <c r="F24" s="879"/>
      <c r="G24" s="879"/>
      <c r="H24" s="880"/>
      <c r="I24" s="878" t="s">
        <v>586</v>
      </c>
      <c r="J24" s="880"/>
      <c r="K24" s="878" t="str">
        <f>기업명!H86</f>
        <v>ㅇㅇㅇ</v>
      </c>
      <c r="L24" s="879"/>
      <c r="M24" s="879"/>
      <c r="N24" s="880"/>
      <c r="O24" s="878" t="s">
        <v>490</v>
      </c>
      <c r="P24" s="879"/>
      <c r="Q24" s="879"/>
      <c r="R24" s="880"/>
      <c r="S24" s="878" t="str">
        <f>기업명!H87</f>
        <v>ㅇㅇㅇ/ㅇㅇㅇ</v>
      </c>
      <c r="T24" s="879"/>
      <c r="U24" s="879"/>
      <c r="V24" s="879"/>
      <c r="W24" s="879"/>
      <c r="X24" s="879"/>
      <c r="Y24" s="890"/>
    </row>
    <row r="25" spans="2:25">
      <c r="B25" s="859"/>
      <c r="C25" s="860"/>
      <c r="D25" s="892"/>
      <c r="E25" s="893"/>
      <c r="F25" s="893"/>
      <c r="G25" s="893"/>
      <c r="H25" s="894"/>
      <c r="I25" s="881"/>
      <c r="J25" s="883"/>
      <c r="K25" s="881"/>
      <c r="L25" s="882"/>
      <c r="M25" s="882"/>
      <c r="N25" s="883"/>
      <c r="O25" s="881"/>
      <c r="P25" s="882"/>
      <c r="Q25" s="882"/>
      <c r="R25" s="883"/>
      <c r="S25" s="881"/>
      <c r="T25" s="882"/>
      <c r="U25" s="882"/>
      <c r="V25" s="882"/>
      <c r="W25" s="882"/>
      <c r="X25" s="882"/>
      <c r="Y25" s="891"/>
    </row>
    <row r="26" spans="2:25">
      <c r="B26" s="859"/>
      <c r="C26" s="860"/>
      <c r="D26" s="892"/>
      <c r="E26" s="893"/>
      <c r="F26" s="893"/>
      <c r="G26" s="893"/>
      <c r="H26" s="894"/>
      <c r="I26" s="878" t="s">
        <v>587</v>
      </c>
      <c r="J26" s="880"/>
      <c r="K26" s="902" t="str">
        <f>기업명!H88</f>
        <v>abc@abc.co.kr</v>
      </c>
      <c r="L26" s="903"/>
      <c r="M26" s="903"/>
      <c r="N26" s="904"/>
      <c r="O26" s="878" t="s">
        <v>598</v>
      </c>
      <c r="P26" s="879"/>
      <c r="Q26" s="879"/>
      <c r="R26" s="880"/>
      <c r="S26" s="863" t="s">
        <v>590</v>
      </c>
      <c r="T26" s="865"/>
      <c r="U26" s="910" t="str">
        <f>기업명!H89</f>
        <v>02-0000-0000</v>
      </c>
      <c r="V26" s="911"/>
      <c r="W26" s="911"/>
      <c r="X26" s="911"/>
      <c r="Y26" s="912"/>
    </row>
    <row r="27" spans="2:25" ht="17.25" thickBot="1">
      <c r="B27" s="861"/>
      <c r="C27" s="862"/>
      <c r="D27" s="899"/>
      <c r="E27" s="900"/>
      <c r="F27" s="900"/>
      <c r="G27" s="900"/>
      <c r="H27" s="901"/>
      <c r="I27" s="899"/>
      <c r="J27" s="901"/>
      <c r="K27" s="905"/>
      <c r="L27" s="906"/>
      <c r="M27" s="906"/>
      <c r="N27" s="907"/>
      <c r="O27" s="899"/>
      <c r="P27" s="900"/>
      <c r="Q27" s="900"/>
      <c r="R27" s="901"/>
      <c r="S27" s="908" t="s">
        <v>591</v>
      </c>
      <c r="T27" s="909"/>
      <c r="U27" s="913" t="str">
        <f>기업명!H90</f>
        <v>010-0000-0000</v>
      </c>
      <c r="V27" s="914"/>
      <c r="W27" s="914"/>
      <c r="X27" s="914"/>
      <c r="Y27" s="915"/>
    </row>
    <row r="28" spans="2:25">
      <c r="B28" s="174"/>
      <c r="C28" s="175"/>
      <c r="D28" s="176"/>
      <c r="E28" s="176"/>
      <c r="F28" s="176"/>
      <c r="G28" s="176"/>
      <c r="H28" s="176"/>
      <c r="I28" s="176"/>
      <c r="J28" s="176"/>
      <c r="K28" s="176"/>
      <c r="L28" s="176"/>
      <c r="M28" s="176"/>
      <c r="N28" s="176"/>
      <c r="O28" s="176"/>
      <c r="P28" s="176"/>
      <c r="Q28" s="176"/>
      <c r="R28" s="176"/>
      <c r="S28" s="176"/>
      <c r="T28" s="176"/>
      <c r="U28" s="176"/>
      <c r="V28" s="176"/>
      <c r="W28" s="176"/>
      <c r="X28" s="176"/>
      <c r="Y28" s="177"/>
    </row>
    <row r="29" spans="2:25" ht="16.5" customHeight="1">
      <c r="B29" s="795" t="s">
        <v>602</v>
      </c>
      <c r="C29" s="796"/>
      <c r="D29" s="796"/>
      <c r="E29" s="796"/>
      <c r="F29" s="796"/>
      <c r="G29" s="796"/>
      <c r="H29" s="796"/>
      <c r="I29" s="796"/>
      <c r="J29" s="796"/>
      <c r="K29" s="796"/>
      <c r="L29" s="796"/>
      <c r="M29" s="796"/>
      <c r="N29" s="796"/>
      <c r="O29" s="796"/>
      <c r="P29" s="796"/>
      <c r="Q29" s="796"/>
      <c r="R29" s="796"/>
      <c r="S29" s="796"/>
      <c r="T29" s="796"/>
      <c r="U29" s="796"/>
      <c r="V29" s="796"/>
      <c r="W29" s="796"/>
      <c r="X29" s="796"/>
      <c r="Y29" s="797"/>
    </row>
    <row r="30" spans="2:25">
      <c r="B30" s="795"/>
      <c r="C30" s="796"/>
      <c r="D30" s="796"/>
      <c r="E30" s="796"/>
      <c r="F30" s="796"/>
      <c r="G30" s="796"/>
      <c r="H30" s="796"/>
      <c r="I30" s="796"/>
      <c r="J30" s="796"/>
      <c r="K30" s="796"/>
      <c r="L30" s="796"/>
      <c r="M30" s="796"/>
      <c r="N30" s="796"/>
      <c r="O30" s="796"/>
      <c r="P30" s="796"/>
      <c r="Q30" s="796"/>
      <c r="R30" s="796"/>
      <c r="S30" s="796"/>
      <c r="T30" s="796"/>
      <c r="U30" s="796"/>
      <c r="V30" s="796"/>
      <c r="W30" s="796"/>
      <c r="X30" s="796"/>
      <c r="Y30" s="797"/>
    </row>
    <row r="31" spans="2:25">
      <c r="B31" s="138" t="s">
        <v>508</v>
      </c>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2:25">
      <c r="B32" s="138"/>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2:30" ht="16.5" customHeight="1">
      <c r="B33" s="138"/>
      <c r="C33" s="139"/>
      <c r="D33" s="139"/>
      <c r="E33" s="139"/>
      <c r="F33" s="139"/>
      <c r="G33" s="139"/>
      <c r="H33" s="139"/>
      <c r="I33" s="139"/>
      <c r="J33" s="139"/>
      <c r="K33" s="139"/>
      <c r="L33" s="139"/>
      <c r="M33" s="139"/>
      <c r="N33" s="139"/>
      <c r="O33" s="139"/>
      <c r="P33" s="139"/>
      <c r="Q33" s="139"/>
      <c r="R33" s="141"/>
      <c r="S33" s="141"/>
      <c r="T33" s="824" t="str">
        <f>기업명!$H$59 &amp; "."</f>
        <v>2024.</v>
      </c>
      <c r="U33" s="824"/>
      <c r="V33" s="139" t="str">
        <f>기업명!$K$59 &amp; "."</f>
        <v>2.</v>
      </c>
      <c r="W33" s="139" t="str">
        <f>기업명!$M$59 &amp; "."</f>
        <v>26.</v>
      </c>
      <c r="X33" s="139"/>
      <c r="Y33" s="140"/>
      <c r="AD33" s="1"/>
    </row>
    <row r="34" spans="2:30">
      <c r="B34" s="135"/>
      <c r="C34" s="136"/>
      <c r="D34" s="136"/>
      <c r="E34" s="136"/>
      <c r="F34" s="136"/>
      <c r="G34" s="136"/>
      <c r="H34" s="136"/>
      <c r="I34" s="136"/>
      <c r="J34" s="136"/>
      <c r="K34" s="136"/>
      <c r="L34" s="136"/>
      <c r="M34" s="136"/>
      <c r="N34" s="136"/>
      <c r="O34" s="136"/>
      <c r="P34" s="136"/>
      <c r="Q34" s="136"/>
      <c r="R34" s="136"/>
      <c r="S34" s="136"/>
      <c r="T34" s="136"/>
      <c r="U34" s="136"/>
      <c r="V34" s="136"/>
      <c r="W34" s="136"/>
      <c r="X34" s="136"/>
      <c r="Y34" s="137"/>
    </row>
    <row r="35" spans="2:30">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7"/>
    </row>
    <row r="36" spans="2:30">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2:30">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2:30">
      <c r="B38" s="142"/>
      <c r="C38" s="143"/>
      <c r="D38" s="143"/>
      <c r="E38" s="143"/>
      <c r="F38" s="143"/>
      <c r="G38" s="143"/>
      <c r="H38" s="143"/>
      <c r="I38" s="143"/>
      <c r="J38" s="143"/>
      <c r="K38" s="143"/>
      <c r="L38" s="143" t="s">
        <v>599</v>
      </c>
      <c r="M38" s="143"/>
      <c r="N38" s="143"/>
      <c r="O38" s="141"/>
      <c r="P38" s="143"/>
      <c r="Q38" s="143" t="str">
        <f>I6</f>
        <v>강현석, 백상열</v>
      </c>
      <c r="R38" s="143"/>
      <c r="S38" s="143"/>
      <c r="T38" s="141" t="s">
        <v>601</v>
      </c>
      <c r="U38" s="143"/>
      <c r="V38" s="143"/>
      <c r="W38" s="143"/>
      <c r="X38" s="143"/>
      <c r="Y38" s="144"/>
    </row>
    <row r="39" spans="2:30">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4"/>
    </row>
    <row r="40" spans="2:30">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4"/>
    </row>
    <row r="41" spans="2:30">
      <c r="B41" s="821" t="s">
        <v>509</v>
      </c>
      <c r="C41" s="822"/>
      <c r="D41" s="822"/>
      <c r="E41" s="822"/>
      <c r="F41" s="822"/>
      <c r="G41" s="822"/>
      <c r="H41" s="822"/>
      <c r="I41" s="822"/>
      <c r="J41" s="822"/>
      <c r="K41" s="822"/>
      <c r="L41" s="822"/>
      <c r="M41" s="822"/>
      <c r="N41" s="822"/>
      <c r="O41" s="822"/>
      <c r="P41" s="822"/>
      <c r="Q41" s="822"/>
      <c r="R41" s="822"/>
      <c r="S41" s="822"/>
      <c r="T41" s="822"/>
      <c r="U41" s="822"/>
      <c r="V41" s="822"/>
      <c r="W41" s="822"/>
      <c r="X41" s="822"/>
      <c r="Y41" s="823"/>
    </row>
    <row r="42" spans="2:30">
      <c r="B42" s="821"/>
      <c r="C42" s="822"/>
      <c r="D42" s="822"/>
      <c r="E42" s="822"/>
      <c r="F42" s="822"/>
      <c r="G42" s="822"/>
      <c r="H42" s="822"/>
      <c r="I42" s="822"/>
      <c r="J42" s="822"/>
      <c r="K42" s="822"/>
      <c r="L42" s="822"/>
      <c r="M42" s="822"/>
      <c r="N42" s="822"/>
      <c r="O42" s="822"/>
      <c r="P42" s="822"/>
      <c r="Q42" s="822"/>
      <c r="R42" s="822"/>
      <c r="S42" s="822"/>
      <c r="T42" s="822"/>
      <c r="U42" s="822"/>
      <c r="V42" s="822"/>
      <c r="W42" s="822"/>
      <c r="X42" s="822"/>
      <c r="Y42" s="823"/>
    </row>
    <row r="43" spans="2:30" ht="17.25" thickBot="1">
      <c r="B43" s="818" t="s">
        <v>600</v>
      </c>
      <c r="C43" s="819"/>
      <c r="D43" s="819"/>
      <c r="E43" s="819"/>
      <c r="F43" s="819"/>
      <c r="G43" s="819"/>
      <c r="H43" s="819"/>
      <c r="I43" s="819"/>
      <c r="J43" s="819"/>
      <c r="K43" s="819"/>
      <c r="L43" s="819"/>
      <c r="M43" s="819"/>
      <c r="N43" s="819"/>
      <c r="O43" s="819"/>
      <c r="P43" s="819"/>
      <c r="Q43" s="819"/>
      <c r="R43" s="819"/>
      <c r="S43" s="819"/>
      <c r="T43" s="819"/>
      <c r="U43" s="819"/>
      <c r="V43" s="819"/>
      <c r="W43" s="819"/>
      <c r="X43" s="819"/>
      <c r="Y43" s="820"/>
    </row>
    <row r="55" spans="2:25" ht="8.1" customHeight="1"/>
    <row r="56" spans="2:25" ht="16.5" customHeight="1">
      <c r="B56" s="854" t="s">
        <v>511</v>
      </c>
      <c r="C56" s="854"/>
      <c r="D56" s="854"/>
      <c r="E56" s="854"/>
      <c r="F56" s="854"/>
      <c r="G56" s="854"/>
      <c r="H56" s="854"/>
      <c r="I56" s="854"/>
      <c r="J56" s="854"/>
      <c r="K56" s="854"/>
      <c r="L56" s="854"/>
      <c r="M56" s="854"/>
      <c r="N56" s="854"/>
      <c r="O56" s="854"/>
      <c r="P56" s="854"/>
      <c r="Q56" s="854"/>
      <c r="R56" s="854"/>
      <c r="S56" s="854"/>
      <c r="T56" s="854"/>
      <c r="U56" s="854"/>
      <c r="V56" s="854"/>
      <c r="W56" s="854"/>
      <c r="X56" s="854"/>
      <c r="Y56" s="854"/>
    </row>
    <row r="57" spans="2:25" ht="16.5" customHeight="1">
      <c r="B57" s="854"/>
      <c r="C57" s="854"/>
      <c r="D57" s="854"/>
      <c r="E57" s="854"/>
      <c r="F57" s="854"/>
      <c r="G57" s="854"/>
      <c r="H57" s="854"/>
      <c r="I57" s="854"/>
      <c r="J57" s="854"/>
      <c r="K57" s="854"/>
      <c r="L57" s="854"/>
      <c r="M57" s="854"/>
      <c r="N57" s="854"/>
      <c r="O57" s="854"/>
      <c r="P57" s="854"/>
      <c r="Q57" s="854"/>
      <c r="R57" s="854"/>
      <c r="S57" s="854"/>
      <c r="T57" s="854"/>
      <c r="U57" s="854"/>
      <c r="V57" s="854"/>
      <c r="W57" s="854"/>
      <c r="X57" s="854"/>
      <c r="Y57" s="854"/>
    </row>
    <row r="58" spans="2:25" ht="16.5" customHeight="1">
      <c r="B58" s="854"/>
      <c r="C58" s="854"/>
      <c r="D58" s="854"/>
      <c r="E58" s="854"/>
      <c r="F58" s="854"/>
      <c r="G58" s="854"/>
      <c r="H58" s="854"/>
      <c r="I58" s="854"/>
      <c r="J58" s="854"/>
      <c r="K58" s="854"/>
      <c r="L58" s="854"/>
      <c r="M58" s="854"/>
      <c r="N58" s="854"/>
      <c r="O58" s="854"/>
      <c r="P58" s="854"/>
      <c r="Q58" s="854"/>
      <c r="R58" s="854"/>
      <c r="S58" s="854"/>
      <c r="T58" s="854"/>
      <c r="U58" s="854"/>
      <c r="V58" s="854"/>
      <c r="W58" s="854"/>
      <c r="X58" s="854"/>
      <c r="Y58" s="854"/>
    </row>
    <row r="59" spans="2:25" ht="16.5" customHeight="1">
      <c r="B59" s="854"/>
      <c r="C59" s="854"/>
      <c r="D59" s="854"/>
      <c r="E59" s="854"/>
      <c r="F59" s="854"/>
      <c r="G59" s="854"/>
      <c r="H59" s="854"/>
      <c r="I59" s="854"/>
      <c r="J59" s="854"/>
      <c r="K59" s="854"/>
      <c r="L59" s="854"/>
      <c r="M59" s="854"/>
      <c r="N59" s="854"/>
      <c r="O59" s="854"/>
      <c r="P59" s="854"/>
      <c r="Q59" s="854"/>
      <c r="R59" s="854"/>
      <c r="S59" s="854"/>
      <c r="T59" s="854"/>
      <c r="U59" s="854"/>
      <c r="V59" s="854"/>
      <c r="W59" s="854"/>
      <c r="X59" s="854"/>
      <c r="Y59" s="854"/>
    </row>
    <row r="60" spans="2:25" ht="16.5" customHeight="1">
      <c r="B60" s="854"/>
      <c r="C60" s="854"/>
      <c r="D60" s="854"/>
      <c r="E60" s="854"/>
      <c r="F60" s="854"/>
      <c r="G60" s="854"/>
      <c r="H60" s="854"/>
      <c r="I60" s="854"/>
      <c r="J60" s="854"/>
      <c r="K60" s="854"/>
      <c r="L60" s="854"/>
      <c r="M60" s="854"/>
      <c r="N60" s="854"/>
      <c r="O60" s="854"/>
      <c r="P60" s="854"/>
      <c r="Q60" s="854"/>
      <c r="R60" s="854"/>
      <c r="S60" s="854"/>
      <c r="T60" s="854"/>
      <c r="U60" s="854"/>
      <c r="V60" s="854"/>
      <c r="W60" s="854"/>
      <c r="X60" s="854"/>
      <c r="Y60" s="854"/>
    </row>
    <row r="61" spans="2:25" ht="16.5" customHeight="1">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row>
    <row r="62" spans="2:25" ht="8.1" customHeight="1"/>
    <row r="66" spans="4:23" ht="16.5" customHeight="1">
      <c r="E66" s="856" t="s">
        <v>512</v>
      </c>
      <c r="F66" s="856"/>
      <c r="G66" s="856"/>
      <c r="H66" s="856"/>
      <c r="I66" s="856"/>
      <c r="J66" s="856"/>
      <c r="K66" s="856"/>
      <c r="L66" s="856"/>
      <c r="M66" s="856" t="str">
        <f>기업명!H14</f>
        <v>㈜현대공업</v>
      </c>
      <c r="N66" s="856"/>
      <c r="O66" s="856"/>
      <c r="P66" s="856"/>
      <c r="Q66" s="856"/>
      <c r="R66" s="856"/>
      <c r="S66" s="856"/>
      <c r="T66" s="856"/>
      <c r="U66" s="856"/>
      <c r="V66" s="856"/>
      <c r="W66" s="98"/>
    </row>
    <row r="67" spans="4:23" ht="16.5" customHeight="1">
      <c r="D67" s="98"/>
      <c r="E67" s="856"/>
      <c r="F67" s="856"/>
      <c r="G67" s="856"/>
      <c r="H67" s="856"/>
      <c r="I67" s="856"/>
      <c r="J67" s="856"/>
      <c r="K67" s="856"/>
      <c r="L67" s="856"/>
      <c r="M67" s="856"/>
      <c r="N67" s="856"/>
      <c r="O67" s="856"/>
      <c r="P67" s="856"/>
      <c r="Q67" s="856"/>
      <c r="R67" s="856"/>
      <c r="S67" s="856"/>
      <c r="T67" s="856"/>
      <c r="U67" s="856"/>
      <c r="V67" s="856"/>
      <c r="W67" s="98"/>
    </row>
    <row r="68" spans="4:23" ht="16.5" customHeight="1">
      <c r="D68" s="98"/>
      <c r="E68" s="856"/>
      <c r="F68" s="856"/>
      <c r="G68" s="856"/>
      <c r="H68" s="856"/>
      <c r="I68" s="856"/>
      <c r="J68" s="856"/>
      <c r="K68" s="856"/>
      <c r="L68" s="856"/>
      <c r="M68" s="856"/>
      <c r="N68" s="856"/>
      <c r="O68" s="856"/>
      <c r="P68" s="856"/>
      <c r="Q68" s="856"/>
      <c r="R68" s="856"/>
      <c r="S68" s="856"/>
      <c r="T68" s="856"/>
      <c r="U68" s="856"/>
      <c r="V68" s="856"/>
      <c r="W68" s="98"/>
    </row>
    <row r="80" spans="4:23" ht="16.5" customHeight="1">
      <c r="J80" s="855" t="str">
        <f>기업명!$H$59 &amp; "."</f>
        <v>2024.</v>
      </c>
      <c r="K80" s="855"/>
      <c r="L80" s="855"/>
      <c r="M80" s="855" t="str">
        <f>기업명!$K$59 &amp; "."</f>
        <v>2.</v>
      </c>
      <c r="N80" s="855"/>
      <c r="O80" s="855" t="str">
        <f>기업명!$M$59 &amp; "."</f>
        <v>26.</v>
      </c>
      <c r="P80" s="855"/>
    </row>
    <row r="81" spans="2:25" ht="16.5" customHeight="1">
      <c r="J81" s="855"/>
      <c r="K81" s="855"/>
      <c r="L81" s="855"/>
      <c r="M81" s="855"/>
      <c r="N81" s="855"/>
      <c r="O81" s="855"/>
      <c r="P81" s="855"/>
    </row>
    <row r="82" spans="2:25" ht="17.25" customHeight="1">
      <c r="I82" s="97"/>
      <c r="J82" s="855"/>
      <c r="K82" s="855"/>
      <c r="L82" s="855"/>
      <c r="M82" s="855"/>
      <c r="N82" s="855"/>
      <c r="O82" s="855"/>
      <c r="P82" s="855"/>
    </row>
    <row r="83" spans="2:25" ht="16.5" customHeight="1">
      <c r="I83" s="97"/>
      <c r="J83" s="97"/>
      <c r="K83" s="97"/>
      <c r="L83" s="97"/>
      <c r="M83" s="97"/>
      <c r="N83" s="97"/>
      <c r="O83" s="97"/>
    </row>
    <row r="96" spans="2:25" ht="17.100000000000001" customHeight="1">
      <c r="B96" s="848" t="s">
        <v>66</v>
      </c>
      <c r="C96" s="849"/>
      <c r="D96" s="849"/>
      <c r="E96" s="849"/>
      <c r="F96" s="849"/>
      <c r="G96" s="849"/>
      <c r="H96" s="849"/>
      <c r="I96" s="849"/>
      <c r="J96" s="849"/>
      <c r="K96" s="849"/>
      <c r="L96" s="849"/>
      <c r="M96" s="849"/>
      <c r="N96" s="849"/>
      <c r="O96" s="849"/>
      <c r="P96" s="849"/>
      <c r="Q96" s="849"/>
      <c r="R96" s="849"/>
      <c r="S96" s="849"/>
      <c r="T96" s="849"/>
      <c r="U96" s="849"/>
      <c r="V96" s="849"/>
      <c r="W96" s="849"/>
      <c r="X96" s="849"/>
      <c r="Y96" s="850"/>
    </row>
    <row r="97" spans="2:27" ht="17.100000000000001" customHeight="1">
      <c r="B97" s="851"/>
      <c r="C97" s="852"/>
      <c r="D97" s="852"/>
      <c r="E97" s="852"/>
      <c r="F97" s="852"/>
      <c r="G97" s="852"/>
      <c r="H97" s="852"/>
      <c r="I97" s="852"/>
      <c r="J97" s="852"/>
      <c r="K97" s="852"/>
      <c r="L97" s="852"/>
      <c r="M97" s="852"/>
      <c r="N97" s="852"/>
      <c r="O97" s="852"/>
      <c r="P97" s="852"/>
      <c r="Q97" s="852"/>
      <c r="R97" s="852"/>
      <c r="S97" s="852"/>
      <c r="T97" s="852"/>
      <c r="U97" s="852"/>
      <c r="V97" s="852"/>
      <c r="W97" s="852"/>
      <c r="X97" s="852"/>
      <c r="Y97" s="853"/>
    </row>
    <row r="98" spans="2:27" ht="17.100000000000001" customHeight="1">
      <c r="B98" s="12">
        <v>1</v>
      </c>
      <c r="C98" s="12">
        <v>2</v>
      </c>
      <c r="D98" s="12">
        <v>3</v>
      </c>
      <c r="E98" s="12">
        <v>4</v>
      </c>
      <c r="F98" s="12">
        <v>5</v>
      </c>
      <c r="G98" s="12">
        <v>6</v>
      </c>
      <c r="H98" s="12">
        <v>7</v>
      </c>
      <c r="I98" s="12">
        <v>8</v>
      </c>
      <c r="J98" s="12">
        <v>9</v>
      </c>
      <c r="K98" s="12">
        <v>10</v>
      </c>
      <c r="L98" s="12">
        <v>11</v>
      </c>
      <c r="M98" s="12">
        <v>12</v>
      </c>
      <c r="N98" s="12">
        <v>13</v>
      </c>
      <c r="O98" s="12">
        <v>14</v>
      </c>
      <c r="P98" s="12">
        <v>15</v>
      </c>
      <c r="Q98" s="12">
        <v>16</v>
      </c>
      <c r="R98" s="12">
        <v>17</v>
      </c>
      <c r="S98" s="12">
        <v>18</v>
      </c>
      <c r="T98" s="12">
        <v>19</v>
      </c>
      <c r="U98" s="12">
        <v>20</v>
      </c>
      <c r="V98" s="12">
        <v>21</v>
      </c>
      <c r="W98" s="12">
        <v>22</v>
      </c>
      <c r="X98" s="12">
        <v>23</v>
      </c>
      <c r="Y98" s="12">
        <v>24</v>
      </c>
    </row>
    <row r="99" spans="2:27" ht="17.100000000000001" customHeight="1">
      <c r="B99" s="977" t="s">
        <v>99</v>
      </c>
      <c r="C99" s="977"/>
      <c r="D99" s="977"/>
      <c r="E99" s="969" t="str">
        <f>기업명!H3</f>
        <v>스마트 생태공장 구축사업</v>
      </c>
      <c r="F99" s="969"/>
      <c r="G99" s="969"/>
      <c r="H99" s="969"/>
      <c r="I99" s="969"/>
      <c r="J99" s="969"/>
      <c r="K99" s="977" t="s">
        <v>94</v>
      </c>
      <c r="L99" s="977"/>
      <c r="M99" s="977"/>
      <c r="N99" s="110" t="str">
        <f>IF(기업명!J5="","","■")</f>
        <v>■</v>
      </c>
      <c r="O99" s="980" t="s">
        <v>89</v>
      </c>
      <c r="P99" s="980"/>
      <c r="Q99" s="980"/>
      <c r="R99" s="980"/>
      <c r="S99" s="980"/>
      <c r="T99" s="980"/>
      <c r="U99" s="110" t="str">
        <f>IF(기업명!J10="","","■")</f>
        <v>■</v>
      </c>
      <c r="V99" s="979" t="s">
        <v>93</v>
      </c>
      <c r="W99" s="979"/>
      <c r="X99" s="979"/>
      <c r="Y99" s="979"/>
    </row>
    <row r="100" spans="2:27" ht="17.100000000000001" customHeight="1">
      <c r="B100" s="977"/>
      <c r="C100" s="977"/>
      <c r="D100" s="977"/>
      <c r="E100" s="969"/>
      <c r="F100" s="969"/>
      <c r="G100" s="969"/>
      <c r="H100" s="969"/>
      <c r="I100" s="969"/>
      <c r="J100" s="969"/>
      <c r="K100" s="977"/>
      <c r="L100" s="977"/>
      <c r="M100" s="977"/>
      <c r="N100" s="110" t="str">
        <f>IF(기업명!J7="","","■")</f>
        <v>■</v>
      </c>
      <c r="O100" s="980" t="s">
        <v>90</v>
      </c>
      <c r="P100" s="980"/>
      <c r="Q100" s="980"/>
      <c r="R100" s="980"/>
      <c r="S100" s="980"/>
      <c r="T100" s="980"/>
      <c r="U100" s="110" t="str">
        <f>IF(기업명!J11="","","■")</f>
        <v>■</v>
      </c>
      <c r="V100" s="980" t="s">
        <v>86</v>
      </c>
      <c r="W100" s="980"/>
      <c r="X100" s="980"/>
      <c r="Y100" s="980"/>
    </row>
    <row r="101" spans="2:27" ht="17.100000000000001" customHeight="1">
      <c r="B101" s="977"/>
      <c r="C101" s="977"/>
      <c r="D101" s="977"/>
      <c r="E101" s="969"/>
      <c r="F101" s="969"/>
      <c r="G101" s="969"/>
      <c r="H101" s="969"/>
      <c r="I101" s="969"/>
      <c r="J101" s="969"/>
      <c r="K101" s="977"/>
      <c r="L101" s="977"/>
      <c r="M101" s="977"/>
      <c r="N101" s="110" t="str">
        <f>IF(기업명!J8="","","■")</f>
        <v>■</v>
      </c>
      <c r="O101" s="980" t="s">
        <v>91</v>
      </c>
      <c r="P101" s="980"/>
      <c r="Q101" s="980"/>
      <c r="R101" s="980"/>
      <c r="S101" s="980"/>
      <c r="T101" s="980"/>
      <c r="U101" s="110" t="str">
        <f>IF(기업명!J12="","","■")</f>
        <v/>
      </c>
      <c r="V101" s="980" t="s">
        <v>87</v>
      </c>
      <c r="W101" s="980"/>
      <c r="X101" s="980"/>
      <c r="Y101" s="980"/>
    </row>
    <row r="102" spans="2:27" ht="17.100000000000001" customHeight="1">
      <c r="B102" s="977"/>
      <c r="C102" s="977"/>
      <c r="D102" s="977"/>
      <c r="E102" s="969"/>
      <c r="F102" s="969"/>
      <c r="G102" s="969"/>
      <c r="H102" s="969"/>
      <c r="I102" s="969"/>
      <c r="J102" s="969"/>
      <c r="K102" s="977"/>
      <c r="L102" s="977"/>
      <c r="M102" s="977"/>
      <c r="N102" s="110" t="str">
        <f>IF(기업명!J9="","","■")</f>
        <v/>
      </c>
      <c r="O102" s="980" t="s">
        <v>92</v>
      </c>
      <c r="P102" s="980"/>
      <c r="Q102" s="980"/>
      <c r="R102" s="980"/>
      <c r="S102" s="980"/>
      <c r="T102" s="980"/>
      <c r="U102" s="110" t="str">
        <f>IF(기업명!J13="","","■")</f>
        <v/>
      </c>
      <c r="V102" s="980" t="s">
        <v>88</v>
      </c>
      <c r="W102" s="980"/>
      <c r="X102" s="980"/>
      <c r="Y102" s="980"/>
    </row>
    <row r="103" spans="2:27" ht="17.100000000000001" customHeight="1">
      <c r="B103" s="983" t="s">
        <v>96</v>
      </c>
      <c r="C103" s="984"/>
      <c r="D103" s="985"/>
      <c r="E103" s="995" t="str">
        <f>기업명!H14</f>
        <v>㈜현대공업</v>
      </c>
      <c r="F103" s="996"/>
      <c r="G103" s="996"/>
      <c r="H103" s="996"/>
      <c r="I103" s="996"/>
      <c r="J103" s="997"/>
      <c r="K103" s="983" t="s">
        <v>95</v>
      </c>
      <c r="L103" s="984"/>
      <c r="M103" s="985"/>
      <c r="N103" s="989" t="str">
        <f>기업명!H15</f>
        <v>자동차시트 폼패드성형공정 고효율온조시스템의 ESG경영화</v>
      </c>
      <c r="O103" s="990"/>
      <c r="P103" s="990"/>
      <c r="Q103" s="990"/>
      <c r="R103" s="990"/>
      <c r="S103" s="990"/>
      <c r="T103" s="990"/>
      <c r="U103" s="990"/>
      <c r="V103" s="990"/>
      <c r="W103" s="990"/>
      <c r="X103" s="990"/>
      <c r="Y103" s="991"/>
    </row>
    <row r="104" spans="2:27" ht="17.100000000000001" customHeight="1">
      <c r="B104" s="986"/>
      <c r="C104" s="987"/>
      <c r="D104" s="988"/>
      <c r="E104" s="998"/>
      <c r="F104" s="999"/>
      <c r="G104" s="999"/>
      <c r="H104" s="999"/>
      <c r="I104" s="999"/>
      <c r="J104" s="1000"/>
      <c r="K104" s="986"/>
      <c r="L104" s="987"/>
      <c r="M104" s="988"/>
      <c r="N104" s="992"/>
      <c r="O104" s="993"/>
      <c r="P104" s="993"/>
      <c r="Q104" s="993"/>
      <c r="R104" s="993"/>
      <c r="S104" s="993"/>
      <c r="T104" s="993"/>
      <c r="U104" s="993"/>
      <c r="V104" s="993"/>
      <c r="W104" s="993"/>
      <c r="X104" s="993"/>
      <c r="Y104" s="994"/>
    </row>
    <row r="105" spans="2:27" ht="17.100000000000001" customHeight="1">
      <c r="B105" s="977" t="s">
        <v>97</v>
      </c>
      <c r="C105" s="977"/>
      <c r="D105" s="977"/>
      <c r="E105" s="978" t="str">
        <f>기업명!H16 &amp; "년 " &amp; 기업명!K16 &amp; "월 " &amp; 기업명!M16 &amp; "일 ~ " &amp; 기업명!P16 &amp; "년 " &amp; 기업명!S16 &amp; "월 " &amp; 기업명!U16 &amp; "일"</f>
        <v>년 월 일 ~ 년 월 일</v>
      </c>
      <c r="F105" s="978"/>
      <c r="G105" s="978"/>
      <c r="H105" s="978"/>
      <c r="I105" s="978"/>
      <c r="J105" s="978"/>
      <c r="K105" s="978"/>
      <c r="L105" s="978"/>
      <c r="M105" s="978"/>
      <c r="N105" s="978"/>
      <c r="O105" s="978"/>
      <c r="P105" s="978"/>
      <c r="Q105" s="978"/>
      <c r="R105" s="978"/>
      <c r="S105" s="978"/>
      <c r="T105" s="978"/>
      <c r="U105" s="978"/>
      <c r="V105" s="978"/>
      <c r="W105" s="978"/>
      <c r="X105" s="978"/>
      <c r="Y105" s="978"/>
    </row>
    <row r="106" spans="2:27" ht="17.100000000000001" customHeight="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2:27" ht="17.100000000000001" customHeight="1">
      <c r="B107" s="977" t="s">
        <v>98</v>
      </c>
      <c r="C107" s="977"/>
      <c r="D107" s="977"/>
      <c r="E107" s="978" t="s">
        <v>101</v>
      </c>
      <c r="F107" s="978"/>
      <c r="G107" s="978"/>
      <c r="H107" s="978"/>
      <c r="I107" s="978"/>
      <c r="J107" s="978"/>
      <c r="K107" s="978"/>
      <c r="L107" s="978" t="s">
        <v>102</v>
      </c>
      <c r="M107" s="978"/>
      <c r="N107" s="978"/>
      <c r="O107" s="978"/>
      <c r="P107" s="978"/>
      <c r="Q107" s="978"/>
      <c r="R107" s="978"/>
      <c r="S107" s="978" t="s">
        <v>103</v>
      </c>
      <c r="T107" s="978"/>
      <c r="U107" s="978"/>
      <c r="V107" s="978"/>
      <c r="W107" s="978"/>
      <c r="X107" s="978"/>
      <c r="Y107" s="978"/>
    </row>
    <row r="108" spans="2:27" ht="17.100000000000001" customHeight="1">
      <c r="B108" s="977" t="s">
        <v>100</v>
      </c>
      <c r="C108" s="977"/>
      <c r="D108" s="977"/>
      <c r="E108" s="982">
        <f>L108+S108</f>
        <v>982400</v>
      </c>
      <c r="F108" s="982"/>
      <c r="G108" s="982"/>
      <c r="H108" s="982"/>
      <c r="I108" s="982"/>
      <c r="J108" s="982"/>
      <c r="K108" s="982"/>
      <c r="L108" s="982">
        <f>기업명!H19</f>
        <v>491200</v>
      </c>
      <c r="M108" s="982"/>
      <c r="N108" s="982"/>
      <c r="O108" s="982"/>
      <c r="P108" s="982"/>
      <c r="Q108" s="982"/>
      <c r="R108" s="982"/>
      <c r="S108" s="982">
        <f>기업명!H20</f>
        <v>491200</v>
      </c>
      <c r="T108" s="982"/>
      <c r="U108" s="982"/>
      <c r="V108" s="982"/>
      <c r="W108" s="982"/>
      <c r="X108" s="982"/>
      <c r="Y108" s="982"/>
    </row>
    <row r="109" spans="2:27" ht="17.100000000000001" customHeight="1">
      <c r="B109" s="977" t="s">
        <v>104</v>
      </c>
      <c r="C109" s="977"/>
      <c r="D109" s="977"/>
      <c r="E109" s="981">
        <v>1</v>
      </c>
      <c r="F109" s="981"/>
      <c r="G109" s="981"/>
      <c r="H109" s="981"/>
      <c r="I109" s="981"/>
      <c r="J109" s="981"/>
      <c r="K109" s="981"/>
      <c r="L109" s="981">
        <f>L108/E108</f>
        <v>0.5</v>
      </c>
      <c r="M109" s="981"/>
      <c r="N109" s="981"/>
      <c r="O109" s="981"/>
      <c r="P109" s="981"/>
      <c r="Q109" s="981"/>
      <c r="R109" s="981"/>
      <c r="S109" s="981">
        <f>S108/E108</f>
        <v>0.5</v>
      </c>
      <c r="T109" s="981"/>
      <c r="U109" s="981"/>
      <c r="V109" s="981"/>
      <c r="W109" s="981"/>
      <c r="X109" s="981"/>
      <c r="Y109" s="981"/>
    </row>
    <row r="110" spans="2:27" ht="17.100000000000001" customHeight="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row>
    <row r="111" spans="2:27" ht="17.100000000000001" customHeight="1">
      <c r="B111" s="112" t="s">
        <v>105</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4"/>
    </row>
    <row r="112" spans="2:27" s="13" customFormat="1" ht="17.100000000000001" customHeight="1">
      <c r="B112" s="115"/>
      <c r="C112" s="970" t="str">
        <f>기업명!H25</f>
        <v>자동차내장재(시트) 생산 전문업체로 자동차 생산업종의 ESG경영 체계 구축 및 활동을 통해 탄소중립활동 강화와 친환경경영 확산이 필요한 시점이며, 이에 따른 정부지원을 통해 정부 환경정책 이바지 및 글로벌 기업으로써의 탄소중립활동 선진화로 동종업계 및 협력업체에 적용 설비의 확산을 목적으로둠</v>
      </c>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116"/>
      <c r="AA112"/>
    </row>
    <row r="113" spans="2:27" s="13" customFormat="1" ht="17.100000000000001" customHeight="1">
      <c r="B113" s="115"/>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116"/>
      <c r="AA113"/>
    </row>
    <row r="114" spans="2:27" s="13" customFormat="1" ht="17.100000000000001" customHeight="1">
      <c r="B114" s="115"/>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116"/>
      <c r="AA114"/>
    </row>
    <row r="115" spans="2:27" ht="17.100000000000001" customHeight="1">
      <c r="B115" s="117" t="s">
        <v>106</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8"/>
    </row>
    <row r="116" spans="2:27" ht="17.100000000000001" customHeight="1">
      <c r="B116" s="117"/>
      <c r="C116" s="825" t="s">
        <v>94</v>
      </c>
      <c r="D116" s="826"/>
      <c r="E116" s="826"/>
      <c r="F116" s="827"/>
      <c r="G116" s="825" t="s">
        <v>110</v>
      </c>
      <c r="H116" s="826"/>
      <c r="I116" s="826"/>
      <c r="J116" s="826"/>
      <c r="K116" s="827"/>
      <c r="L116" s="825" t="s">
        <v>111</v>
      </c>
      <c r="M116" s="826"/>
      <c r="N116" s="826"/>
      <c r="O116" s="826"/>
      <c r="P116" s="827"/>
      <c r="Q116" s="825" t="s">
        <v>109</v>
      </c>
      <c r="R116" s="826"/>
      <c r="S116" s="826"/>
      <c r="T116" s="826"/>
      <c r="U116" s="827"/>
      <c r="V116" s="825" t="s">
        <v>108</v>
      </c>
      <c r="W116" s="826"/>
      <c r="X116" s="827"/>
      <c r="Y116" s="118"/>
    </row>
    <row r="117" spans="2:27" ht="17.100000000000001" customHeight="1">
      <c r="B117" s="119">
        <v>1</v>
      </c>
      <c r="C117" s="825" t="str">
        <f>IFERROR(VLOOKUP(B117,기업명!$CY$167:$DE$174,2,0),"")</f>
        <v>온실가스 저감</v>
      </c>
      <c r="D117" s="826"/>
      <c r="E117" s="826"/>
      <c r="F117" s="827"/>
      <c r="G117" s="834" t="str">
        <f>IFERROR(VLOOKUP($B117,기업명!$CY$167:$DE$174,3,0) &amp;VLOOKUP($B117,기업명!$CY$167:$DE$174,6,0),"")</f>
        <v>1941.2tCO2eq/년</v>
      </c>
      <c r="H117" s="835"/>
      <c r="I117" s="835"/>
      <c r="J117" s="835"/>
      <c r="K117" s="836"/>
      <c r="L117" s="834" t="str">
        <f>IFERROR(VLOOKUP($B117,기업명!$CY$167:$DE$174,4,0) &amp;VLOOKUP($B117,기업명!$CY$167:$DE$174,6,0),"")</f>
        <v>1734.8tCO2eq/년</v>
      </c>
      <c r="M117" s="835"/>
      <c r="N117" s="835"/>
      <c r="O117" s="835"/>
      <c r="P117" s="836"/>
      <c r="Q117" s="1001" t="str">
        <f>IFERROR(VLOOKUP($B117,기업명!$CY$167:$DE$174,5,0) &amp;VLOOKUP($B117,기업명!$CY$167:$DE$174,6,0),"")</f>
        <v>206.4tCO2eq/년</v>
      </c>
      <c r="R117" s="1002"/>
      <c r="S117" s="1002"/>
      <c r="T117" s="1002"/>
      <c r="U117" s="1003"/>
      <c r="V117" s="837">
        <f>IFERROR(VLOOKUP($B117,기업명!$CY$167:$DE$174,7,0),"")</f>
        <v>0.10632598392746759</v>
      </c>
      <c r="W117" s="838"/>
      <c r="X117" s="839"/>
      <c r="Y117" s="118"/>
    </row>
    <row r="118" spans="2:27" ht="17.100000000000001" customHeight="1">
      <c r="B118" s="119">
        <f>SUM(B117)+1</f>
        <v>2</v>
      </c>
      <c r="C118" s="825" t="str">
        <f>IFERROR(VLOOKUP(B118,기업명!$CY$167:$DE$174,2,0),"")</f>
        <v>ICT</v>
      </c>
      <c r="D118" s="826"/>
      <c r="E118" s="826"/>
      <c r="F118" s="827"/>
      <c r="G118" s="834" t="str">
        <f>IFERROR(VLOOKUP($B118,기업명!$CY$167:$DE$174,3,0) &amp;VLOOKUP($B118,기업명!$CY$167:$DE$174,6,0),"")</f>
        <v>0천원/년</v>
      </c>
      <c r="H118" s="835"/>
      <c r="I118" s="835"/>
      <c r="J118" s="835"/>
      <c r="K118" s="836"/>
      <c r="L118" s="834" t="str">
        <f>IFERROR(VLOOKUP($B118,기업명!$CY$167:$DE$174,4,0) &amp;VLOOKUP($B118,기업명!$CY$167:$DE$174,6,0),"")</f>
        <v>102005천원/년</v>
      </c>
      <c r="M118" s="835"/>
      <c r="N118" s="835"/>
      <c r="O118" s="835"/>
      <c r="P118" s="836"/>
      <c r="Q118" s="834" t="str">
        <f>IFERROR(VLOOKUP($B118,기업명!$CY$167:$DE$174,5,0) &amp;VLOOKUP($B118,기업명!$CY$167:$DE$174,6,0),"")</f>
        <v>102005천원/년</v>
      </c>
      <c r="R118" s="835"/>
      <c r="S118" s="835"/>
      <c r="T118" s="835"/>
      <c r="U118" s="836"/>
      <c r="V118" s="837">
        <f>IFERROR(VLOOKUP($B118,기업명!$CY$167:$DE$174,7,0),"")</f>
        <v>1</v>
      </c>
      <c r="W118" s="838"/>
      <c r="X118" s="839"/>
      <c r="Y118" s="118"/>
    </row>
    <row r="119" spans="2:27" ht="17.100000000000001" customHeight="1">
      <c r="B119" s="119">
        <f>SUM($B$117:B118)+1</f>
        <v>4</v>
      </c>
      <c r="C119" s="825" t="str">
        <f>IFERROR(VLOOKUP(B119,기업명!$CY$167:$DE$174,2,0),"")</f>
        <v>대기오염 저감</v>
      </c>
      <c r="D119" s="826"/>
      <c r="E119" s="826"/>
      <c r="F119" s="827"/>
      <c r="G119" s="834" t="str">
        <f>IFERROR(VLOOKUP($B119,기업명!$CY$167:$DE$174,3,0) &amp;VLOOKUP($B119,기업명!$CY$167:$DE$174,6,0),"")</f>
        <v>0.0085ppm</v>
      </c>
      <c r="H119" s="835"/>
      <c r="I119" s="835"/>
      <c r="J119" s="835"/>
      <c r="K119" s="836"/>
      <c r="L119" s="834" t="str">
        <f>IFERROR(VLOOKUP($B119,기업명!$CY$167:$DE$174,4,0) &amp;VLOOKUP($B119,기업명!$CY$167:$DE$174,6,0),"")</f>
        <v>0.00085ppm</v>
      </c>
      <c r="M119" s="835"/>
      <c r="N119" s="835"/>
      <c r="O119" s="835"/>
      <c r="P119" s="836"/>
      <c r="Q119" s="834" t="str">
        <f>IFERROR(VLOOKUP($B119,기업명!$CY$167:$DE$174,5,0) &amp;VLOOKUP($B119,기업명!$CY$167:$DE$174,6,0),"")</f>
        <v>0.00765ppm</v>
      </c>
      <c r="R119" s="835"/>
      <c r="S119" s="835"/>
      <c r="T119" s="835"/>
      <c r="U119" s="836"/>
      <c r="V119" s="837">
        <f>IFERROR(VLOOKUP($B119,기업명!$CY$167:$DE$174,7,0),"")</f>
        <v>0.9</v>
      </c>
      <c r="W119" s="838"/>
      <c r="X119" s="839"/>
      <c r="Y119" s="118"/>
    </row>
    <row r="120" spans="2:27" ht="17.100000000000001" customHeight="1">
      <c r="B120" s="119">
        <f>SUM($B$117:B119)+1</f>
        <v>8</v>
      </c>
      <c r="C120" s="825" t="str">
        <f>IFERROR(VLOOKUP(B120,기업명!$CY$167:$DE$174,2,0),"")</f>
        <v>폐기물배출 저감</v>
      </c>
      <c r="D120" s="826"/>
      <c r="E120" s="826"/>
      <c r="F120" s="827"/>
      <c r="G120" s="834" t="str">
        <f>IFERROR(VLOOKUP($B120,기업명!$CY$167:$DE$174,3,0) &amp;VLOOKUP($B120,기업명!$CY$167:$DE$174,6,0),"")</f>
        <v>3.5ton/년</v>
      </c>
      <c r="H120" s="835"/>
      <c r="I120" s="835"/>
      <c r="J120" s="835"/>
      <c r="K120" s="836"/>
      <c r="L120" s="834" t="str">
        <f>IFERROR(VLOOKUP($B120,기업명!$CY$167:$DE$174,4,0) &amp;VLOOKUP($B120,기업명!$CY$167:$DE$174,6,0),"")</f>
        <v>0.7ton/년</v>
      </c>
      <c r="M120" s="835"/>
      <c r="N120" s="835"/>
      <c r="O120" s="835"/>
      <c r="P120" s="836"/>
      <c r="Q120" s="834" t="str">
        <f>IFERROR(VLOOKUP($B120,기업명!$CY$167:$DE$174,5,0) &amp;VLOOKUP($B120,기업명!$CY$167:$DE$174,6,0),"")</f>
        <v>2.8ton/년</v>
      </c>
      <c r="R120" s="835"/>
      <c r="S120" s="835"/>
      <c r="T120" s="835"/>
      <c r="U120" s="836"/>
      <c r="V120" s="837">
        <f>IFERROR(VLOOKUP($B120,기업명!$CY$167:$DE$174,7,0),"")</f>
        <v>0.79999999999999993</v>
      </c>
      <c r="W120" s="838"/>
      <c r="X120" s="839"/>
      <c r="Y120" s="118"/>
    </row>
    <row r="121" spans="2:27" ht="17.100000000000001" customHeight="1">
      <c r="B121" s="119">
        <f>SUM($B$117:B120)+1</f>
        <v>16</v>
      </c>
      <c r="C121" s="825" t="str">
        <f>IFERROR(VLOOKUP(B121,기업명!$CY$167:$DE$174,2,0),"")</f>
        <v>자원순환</v>
      </c>
      <c r="D121" s="826"/>
      <c r="E121" s="826"/>
      <c r="F121" s="827"/>
      <c r="G121" s="834" t="str">
        <f>IFERROR(VLOOKUP($B121,기업명!$CY$167:$DE$174,3,0) &amp;VLOOKUP($B121,기업명!$CY$167:$DE$174,6,0),"")</f>
        <v>0ton/년</v>
      </c>
      <c r="H121" s="835"/>
      <c r="I121" s="835"/>
      <c r="J121" s="835"/>
      <c r="K121" s="836"/>
      <c r="L121" s="834" t="str">
        <f>IFERROR(VLOOKUP($B121,기업명!$CY$167:$DE$174,4,0) &amp;VLOOKUP($B121,기업명!$CY$167:$DE$174,6,0),"")</f>
        <v>257.4ton/년</v>
      </c>
      <c r="M121" s="835"/>
      <c r="N121" s="835"/>
      <c r="O121" s="835"/>
      <c r="P121" s="836"/>
      <c r="Q121" s="834" t="str">
        <f>IFERROR(VLOOKUP($B121,기업명!$CY$167:$DE$174,5,0) &amp;VLOOKUP($B121,기업명!$CY$167:$DE$174,6,0),"")</f>
        <v>257.4ton/년</v>
      </c>
      <c r="R121" s="835"/>
      <c r="S121" s="835"/>
      <c r="T121" s="835"/>
      <c r="U121" s="836"/>
      <c r="V121" s="837">
        <f>IFERROR(VLOOKUP($B121,기업명!$CY$167:$DE$174,7,0),"")</f>
        <v>1</v>
      </c>
      <c r="W121" s="838"/>
      <c r="X121" s="839"/>
      <c r="Y121" s="118"/>
    </row>
    <row r="122" spans="2:27" ht="17.100000000000001" customHeight="1">
      <c r="B122" s="119">
        <f>SUM($B$117:B121)+1</f>
        <v>32</v>
      </c>
      <c r="C122" s="825" t="str">
        <f>IFERROR(VLOOKUP(B122,기업명!$CY$167:$DE$174,2,0),"")</f>
        <v/>
      </c>
      <c r="D122" s="826"/>
      <c r="E122" s="826"/>
      <c r="F122" s="827"/>
      <c r="G122" s="828" t="str">
        <f>IFERROR(VLOOKUP($B122,기업명!$CY$167:$DE$174,3,0) &amp;VLOOKUP($B122,기업명!$CY$167:$DE$174,6,0),"")</f>
        <v/>
      </c>
      <c r="H122" s="829"/>
      <c r="I122" s="829"/>
      <c r="J122" s="829"/>
      <c r="K122" s="830"/>
      <c r="L122" s="828" t="str">
        <f>IFERROR(VLOOKUP($B122,기업명!$CY$167:$DE$174,4,0) &amp;VLOOKUP($B122,기업명!$CY$167:$DE$174,6,0),"")</f>
        <v/>
      </c>
      <c r="M122" s="829"/>
      <c r="N122" s="829"/>
      <c r="O122" s="829"/>
      <c r="P122" s="830"/>
      <c r="Q122" s="828" t="str">
        <f>IFERROR(VLOOKUP($B122,기업명!$CY$167:$DE$174,5,0) &amp;VLOOKUP($B122,기업명!$CY$167:$DE$174,6,0),"")</f>
        <v/>
      </c>
      <c r="R122" s="829"/>
      <c r="S122" s="829"/>
      <c r="T122" s="829"/>
      <c r="U122" s="830"/>
      <c r="V122" s="831" t="str">
        <f>IFERROR(VLOOKUP($B122,기업명!$CY$167:$DE$174,7,0),"")</f>
        <v/>
      </c>
      <c r="W122" s="832"/>
      <c r="X122" s="833"/>
      <c r="Y122" s="118"/>
    </row>
    <row r="123" spans="2:27" ht="17.100000000000001" customHeight="1">
      <c r="B123" s="119">
        <f>SUM($B$117:B122)+1</f>
        <v>64</v>
      </c>
      <c r="C123" s="825" t="str">
        <f>IFERROR(VLOOKUP(B123,기업명!$CY$167:$DE$174,2,0),"")</f>
        <v/>
      </c>
      <c r="D123" s="826"/>
      <c r="E123" s="826"/>
      <c r="F123" s="827"/>
      <c r="G123" s="828" t="str">
        <f>IFERROR(VLOOKUP($B123,기업명!$CY$167:$DE$174,3,0) &amp;VLOOKUP($B123,기업명!$CY$167:$DE$174,6,0),"")</f>
        <v/>
      </c>
      <c r="H123" s="829"/>
      <c r="I123" s="829"/>
      <c r="J123" s="829"/>
      <c r="K123" s="830"/>
      <c r="L123" s="828" t="str">
        <f>IFERROR(VLOOKUP($B123,기업명!$CY$167:$DE$174,4,0) &amp;VLOOKUP($B123,기업명!$CY$167:$DE$174,6,0),"")</f>
        <v/>
      </c>
      <c r="M123" s="829"/>
      <c r="N123" s="829"/>
      <c r="O123" s="829"/>
      <c r="P123" s="830"/>
      <c r="Q123" s="828" t="str">
        <f>IFERROR(VLOOKUP($B123,기업명!$CY$167:$DE$174,5,0) &amp;VLOOKUP($B123,기업명!$CY$167:$DE$174,6,0),"")</f>
        <v/>
      </c>
      <c r="R123" s="829"/>
      <c r="S123" s="829"/>
      <c r="T123" s="829"/>
      <c r="U123" s="830"/>
      <c r="V123" s="831" t="str">
        <f>IFERROR(VLOOKUP($B123,기업명!$CY$167:$DE$174,7,0),"")</f>
        <v/>
      </c>
      <c r="W123" s="832"/>
      <c r="X123" s="833"/>
      <c r="Y123" s="118"/>
    </row>
    <row r="124" spans="2:27" ht="17.100000000000001" customHeight="1">
      <c r="B124" s="119">
        <f>SUM($B$117:B123)+1</f>
        <v>128</v>
      </c>
      <c r="C124" s="825" t="str">
        <f>IFERROR(VLOOKUP(B124,기업명!$CY$167:$DE$174,2,0),"")</f>
        <v/>
      </c>
      <c r="D124" s="826"/>
      <c r="E124" s="826"/>
      <c r="F124" s="827"/>
      <c r="G124" s="828" t="str">
        <f>IFERROR(VLOOKUP($B124,기업명!$CY$167:$DE$174,3,0) &amp;VLOOKUP($B124,기업명!$CY$167:$DE$174,6,0),"")</f>
        <v/>
      </c>
      <c r="H124" s="829"/>
      <c r="I124" s="829"/>
      <c r="J124" s="829"/>
      <c r="K124" s="830"/>
      <c r="L124" s="828" t="str">
        <f>IFERROR(VLOOKUP($B124,기업명!$CY$167:$DE$174,4,0) &amp;VLOOKUP($B124,기업명!$CY$167:$DE$174,6,0),"")</f>
        <v/>
      </c>
      <c r="M124" s="829"/>
      <c r="N124" s="829"/>
      <c r="O124" s="829"/>
      <c r="P124" s="830"/>
      <c r="Q124" s="828" t="str">
        <f>IFERROR(VLOOKUP($B124,기업명!$CY$167:$DE$174,5,0) &amp;VLOOKUP($B124,기업명!$CY$167:$DE$174,6,0),"")</f>
        <v/>
      </c>
      <c r="R124" s="829"/>
      <c r="S124" s="829"/>
      <c r="T124" s="829"/>
      <c r="U124" s="830"/>
      <c r="V124" s="831" t="str">
        <f>IFERROR(VLOOKUP($B124,기업명!$CY$167:$DE$174,7,0),"")</f>
        <v/>
      </c>
      <c r="W124" s="832"/>
      <c r="X124" s="833"/>
      <c r="Y124" s="118"/>
    </row>
    <row r="125" spans="2:27" ht="17.100000000000001" customHeight="1">
      <c r="B125" s="119">
        <f>SUM($B$117:B124)+1</f>
        <v>256</v>
      </c>
      <c r="C125" s="825" t="str">
        <f>IFERROR(VLOOKUP(B125,기업명!$CY$167:$DE$174,2,0),"")</f>
        <v/>
      </c>
      <c r="D125" s="826"/>
      <c r="E125" s="826"/>
      <c r="F125" s="827"/>
      <c r="G125" s="828" t="str">
        <f>IFERROR(VLOOKUP($B125,기업명!$CY$167:$DE$174,3,0) &amp;VLOOKUP($B125,기업명!$CY$167:$DE$174,6,0),"")</f>
        <v/>
      </c>
      <c r="H125" s="829"/>
      <c r="I125" s="829"/>
      <c r="J125" s="829"/>
      <c r="K125" s="830"/>
      <c r="L125" s="828" t="str">
        <f>IFERROR(VLOOKUP($B125,기업명!$CY$167:$DE$174,4,0) &amp;VLOOKUP($B125,기업명!$CY$167:$DE$174,6,0),"")</f>
        <v/>
      </c>
      <c r="M125" s="829"/>
      <c r="N125" s="829"/>
      <c r="O125" s="829"/>
      <c r="P125" s="830"/>
      <c r="Q125" s="828" t="str">
        <f>IFERROR(VLOOKUP($B125,기업명!$CY$167:$DE$174,5,0) &amp;VLOOKUP($B125,기업명!$CY$167:$DE$174,6,0),"")</f>
        <v/>
      </c>
      <c r="R125" s="829"/>
      <c r="S125" s="829"/>
      <c r="T125" s="829"/>
      <c r="U125" s="830"/>
      <c r="V125" s="831" t="str">
        <f>IFERROR(VLOOKUP($B125,기업명!$CY$167:$DE$174,7,0),"")</f>
        <v/>
      </c>
      <c r="W125" s="832"/>
      <c r="X125" s="833"/>
      <c r="Y125" s="118"/>
    </row>
    <row r="126" spans="2:27" ht="17.100000000000001" customHeight="1">
      <c r="B126" s="117" t="s">
        <v>107</v>
      </c>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8"/>
    </row>
    <row r="127" spans="2:27" ht="17.100000000000001" customHeight="1">
      <c r="B127" s="117"/>
      <c r="C127" s="1050" t="str">
        <f>기업명!H40</f>
        <v>[지원분야 (5) : 온실가스저감, ICT,대기오염저감, 폐기물 배출저감, 자원순환]
[시설분야 (5) : 에너지회수절감, 사업성과모니터링제어, 대기오염방지, 폐기물저감, 빗물재이용]
폼패드성형공정의 고효율 온조기 히터시설 설치를 통한 에너지 절감 및 온실가스 저감
유틸리티시설인 고효율 펌프 가변제어 장치 설치를 통한 에너지 절감 및 온실가스 저감
사업성과 모니터링 시스템 구축 및 기존 에너지모니터링시스템 연동을 통한 에너지효율관리 시스템화
고효율 여과집진시설 설치를 통한 대기오염물질(먼지) 배출 저감
발포공정내 딥러닝시스템(자동화) 구축을 통한 폐합성수지 폐기물 배출 저감
친환경시설인 빗물재이용시설 설치를 통한 빗물재이용으로 공업용수 사용 저감</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18"/>
    </row>
    <row r="128" spans="2:27" ht="17.100000000000001" customHeight="1">
      <c r="B128" s="117"/>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0"/>
      <c r="X128" s="1050"/>
      <c r="Y128" s="118"/>
    </row>
    <row r="129" spans="2:25" ht="17.100000000000001" customHeight="1">
      <c r="B129" s="117"/>
      <c r="C129" s="1050"/>
      <c r="D129" s="1050"/>
      <c r="E129" s="1050"/>
      <c r="F129" s="1050"/>
      <c r="G129" s="1050"/>
      <c r="H129" s="1050"/>
      <c r="I129" s="1050"/>
      <c r="J129" s="1050"/>
      <c r="K129" s="1050"/>
      <c r="L129" s="1050"/>
      <c r="M129" s="1050"/>
      <c r="N129" s="1050"/>
      <c r="O129" s="1050"/>
      <c r="P129" s="1050"/>
      <c r="Q129" s="1050"/>
      <c r="R129" s="1050"/>
      <c r="S129" s="1050"/>
      <c r="T129" s="1050"/>
      <c r="U129" s="1050"/>
      <c r="V129" s="1050"/>
      <c r="W129" s="1050"/>
      <c r="X129" s="1050"/>
      <c r="Y129" s="118"/>
    </row>
    <row r="130" spans="2:25" ht="17.100000000000001" customHeight="1">
      <c r="B130" s="117"/>
      <c r="C130" s="1050"/>
      <c r="D130" s="1050"/>
      <c r="E130" s="1050"/>
      <c r="F130" s="1050"/>
      <c r="G130" s="1050"/>
      <c r="H130" s="1050"/>
      <c r="I130" s="1050"/>
      <c r="J130" s="1050"/>
      <c r="K130" s="1050"/>
      <c r="L130" s="1050"/>
      <c r="M130" s="1050"/>
      <c r="N130" s="1050"/>
      <c r="O130" s="1050"/>
      <c r="P130" s="1050"/>
      <c r="Q130" s="1050"/>
      <c r="R130" s="1050"/>
      <c r="S130" s="1050"/>
      <c r="T130" s="1050"/>
      <c r="U130" s="1050"/>
      <c r="V130" s="1050"/>
      <c r="W130" s="1050"/>
      <c r="X130" s="1050"/>
      <c r="Y130" s="118"/>
    </row>
    <row r="131" spans="2:25" ht="17.100000000000001" customHeight="1">
      <c r="B131" s="117"/>
      <c r="C131" s="1050"/>
      <c r="D131" s="1050"/>
      <c r="E131" s="1050"/>
      <c r="F131" s="1050"/>
      <c r="G131" s="1050"/>
      <c r="H131" s="1050"/>
      <c r="I131" s="1050"/>
      <c r="J131" s="1050"/>
      <c r="K131" s="1050"/>
      <c r="L131" s="1050"/>
      <c r="M131" s="1050"/>
      <c r="N131" s="1050"/>
      <c r="O131" s="1050"/>
      <c r="P131" s="1050"/>
      <c r="Q131" s="1050"/>
      <c r="R131" s="1050"/>
      <c r="S131" s="1050"/>
      <c r="T131" s="1050"/>
      <c r="U131" s="1050"/>
      <c r="V131" s="1050"/>
      <c r="W131" s="1050"/>
      <c r="X131" s="1050"/>
      <c r="Y131" s="118"/>
    </row>
    <row r="132" spans="2:25" ht="17.100000000000001" customHeight="1">
      <c r="B132" s="117"/>
      <c r="C132" s="1050"/>
      <c r="D132" s="1050"/>
      <c r="E132" s="1050"/>
      <c r="F132" s="1050"/>
      <c r="G132" s="1050"/>
      <c r="H132" s="1050"/>
      <c r="I132" s="1050"/>
      <c r="J132" s="1050"/>
      <c r="K132" s="1050"/>
      <c r="L132" s="1050"/>
      <c r="M132" s="1050"/>
      <c r="N132" s="1050"/>
      <c r="O132" s="1050"/>
      <c r="P132" s="1050"/>
      <c r="Q132" s="1050"/>
      <c r="R132" s="1050"/>
      <c r="S132" s="1050"/>
      <c r="T132" s="1050"/>
      <c r="U132" s="1050"/>
      <c r="V132" s="1050"/>
      <c r="W132" s="1050"/>
      <c r="X132" s="1050"/>
      <c r="Y132" s="118"/>
    </row>
    <row r="133" spans="2:25" ht="17.100000000000001" customHeight="1">
      <c r="B133" s="117"/>
      <c r="C133" s="1050"/>
      <c r="D133" s="1050"/>
      <c r="E133" s="1050"/>
      <c r="F133" s="1050"/>
      <c r="G133" s="1050"/>
      <c r="H133" s="1050"/>
      <c r="I133" s="1050"/>
      <c r="J133" s="1050"/>
      <c r="K133" s="1050"/>
      <c r="L133" s="1050"/>
      <c r="M133" s="1050"/>
      <c r="N133" s="1050"/>
      <c r="O133" s="1050"/>
      <c r="P133" s="1050"/>
      <c r="Q133" s="1050"/>
      <c r="R133" s="1050"/>
      <c r="S133" s="1050"/>
      <c r="T133" s="1050"/>
      <c r="U133" s="1050"/>
      <c r="V133" s="1050"/>
      <c r="W133" s="1050"/>
      <c r="X133" s="1050"/>
      <c r="Y133" s="118"/>
    </row>
    <row r="134" spans="2:25" ht="17.100000000000001" customHeight="1">
      <c r="B134" s="117" t="s">
        <v>114</v>
      </c>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8"/>
    </row>
    <row r="135" spans="2:25" ht="17.100000000000001" customHeight="1">
      <c r="B135" s="117"/>
      <c r="C135" s="970" t="str">
        <f>기업명!H48</f>
        <v>(협약후 ~ 2024.10.30) 신청과제(시설)별 설계 및 제작 후 현장 시공 완료
(2024.11.1 ~ 2024.11.30) 신청과제(시설)별 시운전 운영 및 성과 도출(측정, 분석)
(2024.12.1 ~ 2024.12.30) 신청과제(시설)별 성과 취합 및 결과 보고</v>
      </c>
      <c r="D135" s="970"/>
      <c r="E135" s="970"/>
      <c r="F135" s="970"/>
      <c r="G135" s="970"/>
      <c r="H135" s="970"/>
      <c r="I135" s="970"/>
      <c r="J135" s="970"/>
      <c r="K135" s="970"/>
      <c r="L135" s="970"/>
      <c r="M135" s="970"/>
      <c r="N135" s="970"/>
      <c r="O135" s="970"/>
      <c r="P135" s="970"/>
      <c r="Q135" s="970"/>
      <c r="R135" s="970"/>
      <c r="S135" s="970"/>
      <c r="T135" s="970"/>
      <c r="U135" s="970"/>
      <c r="V135" s="970"/>
      <c r="W135" s="970"/>
      <c r="X135" s="970"/>
      <c r="Y135" s="118"/>
    </row>
    <row r="136" spans="2:25" ht="17.100000000000001" customHeight="1">
      <c r="B136" s="117"/>
      <c r="C136" s="970"/>
      <c r="D136" s="970"/>
      <c r="E136" s="970"/>
      <c r="F136" s="970"/>
      <c r="G136" s="970"/>
      <c r="H136" s="970"/>
      <c r="I136" s="970"/>
      <c r="J136" s="970"/>
      <c r="K136" s="970"/>
      <c r="L136" s="970"/>
      <c r="M136" s="970"/>
      <c r="N136" s="970"/>
      <c r="O136" s="970"/>
      <c r="P136" s="970"/>
      <c r="Q136" s="970"/>
      <c r="R136" s="970"/>
      <c r="S136" s="970"/>
      <c r="T136" s="970"/>
      <c r="U136" s="970"/>
      <c r="V136" s="970"/>
      <c r="W136" s="970"/>
      <c r="X136" s="970"/>
      <c r="Y136" s="118"/>
    </row>
    <row r="137" spans="2:25" ht="17.100000000000001" customHeight="1">
      <c r="B137" s="117"/>
      <c r="C137" s="970"/>
      <c r="D137" s="970"/>
      <c r="E137" s="970"/>
      <c r="F137" s="970"/>
      <c r="G137" s="970"/>
      <c r="H137" s="970"/>
      <c r="I137" s="970"/>
      <c r="J137" s="970"/>
      <c r="K137" s="970"/>
      <c r="L137" s="970"/>
      <c r="M137" s="970"/>
      <c r="N137" s="970"/>
      <c r="O137" s="970"/>
      <c r="P137" s="970"/>
      <c r="Q137" s="970"/>
      <c r="R137" s="970"/>
      <c r="S137" s="970"/>
      <c r="T137" s="970"/>
      <c r="U137" s="970"/>
      <c r="V137" s="970"/>
      <c r="W137" s="970"/>
      <c r="X137" s="970"/>
      <c r="Y137" s="118"/>
    </row>
    <row r="138" spans="2:25" ht="17.100000000000001" customHeight="1">
      <c r="B138" s="117" t="s">
        <v>115</v>
      </c>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8"/>
    </row>
    <row r="139" spans="2:25" ht="17.100000000000001" customHeight="1">
      <c r="B139" s="117"/>
      <c r="C139" s="970" t="str">
        <f>기업명!H52</f>
        <v>총 환경적 효과 : 온실가스 206.4tco2eq/년 저감
                     대기오염물질(먼지) 0.0077ppm 저감, 폐기물 배출량 2.8톤/년 저감
총 경제적 효과 : 407,697천원/년</v>
      </c>
      <c r="D139" s="970"/>
      <c r="E139" s="970"/>
      <c r="F139" s="970"/>
      <c r="G139" s="970"/>
      <c r="H139" s="970"/>
      <c r="I139" s="970"/>
      <c r="J139" s="970"/>
      <c r="K139" s="970"/>
      <c r="L139" s="970"/>
      <c r="M139" s="970"/>
      <c r="N139" s="970"/>
      <c r="O139" s="970"/>
      <c r="P139" s="970"/>
      <c r="Q139" s="970"/>
      <c r="R139" s="970"/>
      <c r="S139" s="970"/>
      <c r="T139" s="970"/>
      <c r="U139" s="970"/>
      <c r="V139" s="970"/>
      <c r="W139" s="970"/>
      <c r="X139" s="970"/>
      <c r="Y139" s="118"/>
    </row>
    <row r="140" spans="2:25" ht="17.100000000000001" customHeight="1">
      <c r="B140" s="117"/>
      <c r="C140" s="970"/>
      <c r="D140" s="970"/>
      <c r="E140" s="970"/>
      <c r="F140" s="970"/>
      <c r="G140" s="970"/>
      <c r="H140" s="970"/>
      <c r="I140" s="970"/>
      <c r="J140" s="970"/>
      <c r="K140" s="970"/>
      <c r="L140" s="970"/>
      <c r="M140" s="970"/>
      <c r="N140" s="970"/>
      <c r="O140" s="970"/>
      <c r="P140" s="970"/>
      <c r="Q140" s="970"/>
      <c r="R140" s="970"/>
      <c r="S140" s="970"/>
      <c r="T140" s="970"/>
      <c r="U140" s="970"/>
      <c r="V140" s="970"/>
      <c r="W140" s="970"/>
      <c r="X140" s="970"/>
      <c r="Y140" s="118"/>
    </row>
    <row r="141" spans="2:25" ht="17.100000000000001" customHeight="1">
      <c r="B141" s="120"/>
      <c r="C141" s="1051"/>
      <c r="D141" s="1051"/>
      <c r="E141" s="1051"/>
      <c r="F141" s="1051"/>
      <c r="G141" s="1051"/>
      <c r="H141" s="1051"/>
      <c r="I141" s="1051"/>
      <c r="J141" s="1051"/>
      <c r="K141" s="1051"/>
      <c r="L141" s="1051"/>
      <c r="M141" s="1051"/>
      <c r="N141" s="1051"/>
      <c r="O141" s="1051"/>
      <c r="P141" s="1051"/>
      <c r="Q141" s="1051"/>
      <c r="R141" s="1051"/>
      <c r="S141" s="1051"/>
      <c r="T141" s="1051"/>
      <c r="U141" s="1051"/>
      <c r="V141" s="1051"/>
      <c r="W141" s="1051"/>
      <c r="X141" s="1051"/>
      <c r="Y141" s="121"/>
    </row>
    <row r="142" spans="2:25" ht="17.100000000000001" customHeight="1" thickBot="1">
      <c r="B142" s="111"/>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11"/>
    </row>
    <row r="143" spans="2:25" ht="24.95" customHeight="1" thickBot="1">
      <c r="B143" s="791" t="s">
        <v>603</v>
      </c>
      <c r="C143" s="792"/>
      <c r="D143" s="793" t="s">
        <v>606</v>
      </c>
      <c r="E143" s="794"/>
      <c r="F143" s="794"/>
      <c r="G143" s="794"/>
      <c r="H143" s="794"/>
      <c r="I143" s="794"/>
      <c r="J143" s="794"/>
      <c r="K143" s="794"/>
    </row>
    <row r="144" spans="2:25" ht="17.100000000000001" customHeight="1"/>
    <row r="145" spans="2:27" ht="17.100000000000001" customHeight="1">
      <c r="B145" s="123" t="s">
        <v>0</v>
      </c>
      <c r="C145" s="123"/>
      <c r="D145" s="123"/>
      <c r="E145" s="123"/>
      <c r="F145" s="123"/>
      <c r="G145" s="123"/>
      <c r="H145" s="111"/>
      <c r="I145" s="111"/>
      <c r="J145" s="111"/>
      <c r="K145" s="111"/>
      <c r="L145" s="111"/>
      <c r="M145" s="111"/>
      <c r="N145" s="111"/>
      <c r="O145" s="111"/>
      <c r="P145" s="111"/>
      <c r="Q145" s="111"/>
      <c r="R145" s="111"/>
      <c r="S145" s="111"/>
      <c r="T145" s="111"/>
      <c r="U145" s="111"/>
      <c r="V145" s="111"/>
      <c r="W145" s="111"/>
      <c r="X145" s="111"/>
      <c r="Y145" s="111"/>
    </row>
    <row r="146" spans="2:27" ht="17.100000000000001" customHeight="1">
      <c r="B146" s="123"/>
      <c r="C146" s="123" t="s">
        <v>1</v>
      </c>
      <c r="D146" s="123"/>
      <c r="E146" s="123"/>
      <c r="F146" s="123"/>
      <c r="G146" s="123"/>
      <c r="H146" s="111"/>
      <c r="I146" s="111"/>
      <c r="J146" s="111"/>
      <c r="K146" s="111"/>
      <c r="L146" s="111"/>
      <c r="M146" s="111"/>
      <c r="N146" s="111"/>
      <c r="O146" s="111"/>
      <c r="P146" s="111"/>
      <c r="Q146" s="111"/>
      <c r="R146" s="111"/>
      <c r="S146" s="111"/>
      <c r="T146" s="111"/>
      <c r="U146" s="111"/>
      <c r="V146" s="111"/>
      <c r="W146" s="111"/>
      <c r="X146" s="111"/>
      <c r="Y146" s="111"/>
    </row>
    <row r="147" spans="2:27" ht="17.100000000000001" customHeight="1">
      <c r="B147" s="111"/>
      <c r="C147" s="111"/>
      <c r="D147" s="977" t="s">
        <v>27</v>
      </c>
      <c r="E147" s="977"/>
      <c r="F147" s="977"/>
      <c r="G147" s="978" t="str">
        <f>기업명!H104</f>
        <v>㈜현대공업</v>
      </c>
      <c r="H147" s="978"/>
      <c r="I147" s="978"/>
      <c r="J147" s="978"/>
      <c r="K147" s="978"/>
      <c r="L147" s="978"/>
      <c r="M147" s="978"/>
      <c r="N147" s="978"/>
      <c r="O147" s="978"/>
      <c r="P147" s="978"/>
      <c r="Q147" s="978"/>
      <c r="R147" s="978"/>
      <c r="S147" s="978"/>
      <c r="T147" s="1037" t="s">
        <v>2</v>
      </c>
      <c r="U147" s="1037"/>
      <c r="V147" s="1036" t="str">
        <f>기업명!H105 &amp; "-" &amp; 기업명!K105 &amp; "-" &amp; 기업명!M105</f>
        <v>1978-10-1</v>
      </c>
      <c r="W147" s="1036"/>
      <c r="X147" s="1036"/>
      <c r="Y147" s="1036"/>
    </row>
    <row r="148" spans="2:27" s="15" customFormat="1" ht="17.100000000000001" customHeight="1">
      <c r="B148" s="122"/>
      <c r="C148" s="122"/>
      <c r="D148" s="1035" t="s">
        <v>3</v>
      </c>
      <c r="E148" s="1035"/>
      <c r="F148" s="1035"/>
      <c r="G148" s="1038" t="str">
        <f>기업명!H106</f>
        <v>자동차용 시트 부품 제조</v>
      </c>
      <c r="H148" s="1038"/>
      <c r="I148" s="1038"/>
      <c r="J148" s="1038"/>
      <c r="K148" s="1038"/>
      <c r="L148" s="1038"/>
      <c r="M148" s="1038"/>
      <c r="N148" s="1038"/>
      <c r="O148" s="1038"/>
      <c r="P148" s="1038"/>
      <c r="Q148" s="1038"/>
      <c r="R148" s="1038"/>
      <c r="S148" s="1038"/>
      <c r="T148" s="1038"/>
      <c r="U148" s="1038"/>
      <c r="V148" s="1038"/>
      <c r="W148" s="1038"/>
      <c r="X148" s="1038"/>
      <c r="Y148" s="1038"/>
      <c r="AA148"/>
    </row>
    <row r="149" spans="2:27" ht="17.100000000000001" customHeight="1">
      <c r="B149" s="111"/>
      <c r="C149" s="111"/>
      <c r="D149" s="983" t="s">
        <v>4</v>
      </c>
      <c r="E149" s="984"/>
      <c r="F149" s="985"/>
      <c r="G149" s="1042" t="str">
        <f>기업명!H107</f>
        <v>1969년 07월 현대공업사 창립
1969년 07월 현대차 버스1호 시트 납품 개시
1976년 06월 포니 시트 생산
1978년 09월 ㈜현대공업 법인 설립
1987년 03월 공장 확장이전(울산 부곡동)
1994년 03월 총무처장관, 국무총리 표창
1997년 05월 불량 100PPM 달성
2001년 11월 아산공장 설립
2004년 07월 중국 북경 법인 설립
2013년 12월 코스닥 시장 상장
2015년 07월 공장 확장 이전(울산 매곡동)
2015년 12월 중국 황화 법인 설립
2022년 10월 신개념 헤드레스트 / 다단 암레스트 메커니즘 개발</v>
      </c>
      <c r="H149" s="1043"/>
      <c r="I149" s="1043"/>
      <c r="J149" s="1043"/>
      <c r="K149" s="1043"/>
      <c r="L149" s="1043"/>
      <c r="M149" s="1043"/>
      <c r="N149" s="1043"/>
      <c r="O149" s="1043"/>
      <c r="P149" s="1043"/>
      <c r="Q149" s="1043"/>
      <c r="R149" s="1043"/>
      <c r="S149" s="1043"/>
      <c r="T149" s="1043"/>
      <c r="U149" s="1043"/>
      <c r="V149" s="1043"/>
      <c r="W149" s="1043"/>
      <c r="X149" s="1043"/>
      <c r="Y149" s="1044"/>
    </row>
    <row r="150" spans="2:27" ht="17.100000000000001" customHeight="1">
      <c r="B150" s="111"/>
      <c r="C150" s="111"/>
      <c r="D150" s="1039"/>
      <c r="E150" s="1040"/>
      <c r="F150" s="1041"/>
      <c r="G150" s="1045"/>
      <c r="H150" s="205"/>
      <c r="I150" s="205"/>
      <c r="J150" s="205"/>
      <c r="K150" s="205"/>
      <c r="L150" s="205"/>
      <c r="M150" s="205"/>
      <c r="N150" s="205"/>
      <c r="O150" s="205"/>
      <c r="P150" s="205"/>
      <c r="Q150" s="205"/>
      <c r="R150" s="205"/>
      <c r="S150" s="205"/>
      <c r="T150" s="205"/>
      <c r="U150" s="205"/>
      <c r="V150" s="205"/>
      <c r="W150" s="205"/>
      <c r="X150" s="205"/>
      <c r="Y150" s="1046"/>
    </row>
    <row r="151" spans="2:27" ht="17.100000000000001" customHeight="1">
      <c r="B151" s="111"/>
      <c r="C151" s="111"/>
      <c r="D151" s="1039"/>
      <c r="E151" s="1040"/>
      <c r="F151" s="1041"/>
      <c r="G151" s="1045"/>
      <c r="H151" s="205"/>
      <c r="I151" s="205"/>
      <c r="J151" s="205"/>
      <c r="K151" s="205"/>
      <c r="L151" s="205"/>
      <c r="M151" s="205"/>
      <c r="N151" s="205"/>
      <c r="O151" s="205"/>
      <c r="P151" s="205"/>
      <c r="Q151" s="205"/>
      <c r="R151" s="205"/>
      <c r="S151" s="205"/>
      <c r="T151" s="205"/>
      <c r="U151" s="205"/>
      <c r="V151" s="205"/>
      <c r="W151" s="205"/>
      <c r="X151" s="205"/>
      <c r="Y151" s="1046"/>
    </row>
    <row r="152" spans="2:27" ht="17.100000000000001" customHeight="1">
      <c r="B152" s="111"/>
      <c r="C152" s="111"/>
      <c r="D152" s="1039"/>
      <c r="E152" s="1040"/>
      <c r="F152" s="1041"/>
      <c r="G152" s="1045"/>
      <c r="H152" s="205"/>
      <c r="I152" s="205"/>
      <c r="J152" s="205"/>
      <c r="K152" s="205"/>
      <c r="L152" s="205"/>
      <c r="M152" s="205"/>
      <c r="N152" s="205"/>
      <c r="O152" s="205"/>
      <c r="P152" s="205"/>
      <c r="Q152" s="205"/>
      <c r="R152" s="205"/>
      <c r="S152" s="205"/>
      <c r="T152" s="205"/>
      <c r="U152" s="205"/>
      <c r="V152" s="205"/>
      <c r="W152" s="205"/>
      <c r="X152" s="205"/>
      <c r="Y152" s="1046"/>
    </row>
    <row r="153" spans="2:27" ht="17.100000000000001" customHeight="1">
      <c r="B153" s="111"/>
      <c r="C153" s="111"/>
      <c r="D153" s="1039"/>
      <c r="E153" s="1040"/>
      <c r="F153" s="1041"/>
      <c r="G153" s="1045"/>
      <c r="H153" s="205"/>
      <c r="I153" s="205"/>
      <c r="J153" s="205"/>
      <c r="K153" s="205"/>
      <c r="L153" s="205"/>
      <c r="M153" s="205"/>
      <c r="N153" s="205"/>
      <c r="O153" s="205"/>
      <c r="P153" s="205"/>
      <c r="Q153" s="205"/>
      <c r="R153" s="205"/>
      <c r="S153" s="205"/>
      <c r="T153" s="205"/>
      <c r="U153" s="205"/>
      <c r="V153" s="205"/>
      <c r="W153" s="205"/>
      <c r="X153" s="205"/>
      <c r="Y153" s="1046"/>
    </row>
    <row r="154" spans="2:27" ht="17.100000000000001" customHeight="1">
      <c r="B154" s="111"/>
      <c r="C154" s="111"/>
      <c r="D154" s="1039"/>
      <c r="E154" s="1040"/>
      <c r="F154" s="1041"/>
      <c r="G154" s="1045"/>
      <c r="H154" s="205"/>
      <c r="I154" s="205"/>
      <c r="J154" s="205"/>
      <c r="K154" s="205"/>
      <c r="L154" s="205"/>
      <c r="M154" s="205"/>
      <c r="N154" s="205"/>
      <c r="O154" s="205"/>
      <c r="P154" s="205"/>
      <c r="Q154" s="205"/>
      <c r="R154" s="205"/>
      <c r="S154" s="205"/>
      <c r="T154" s="205"/>
      <c r="U154" s="205"/>
      <c r="V154" s="205"/>
      <c r="W154" s="205"/>
      <c r="X154" s="205"/>
      <c r="Y154" s="1046"/>
    </row>
    <row r="155" spans="2:27" ht="17.100000000000001" customHeight="1">
      <c r="B155" s="111"/>
      <c r="C155" s="111"/>
      <c r="D155" s="1039"/>
      <c r="E155" s="1040"/>
      <c r="F155" s="1041"/>
      <c r="G155" s="1045"/>
      <c r="H155" s="205"/>
      <c r="I155" s="205"/>
      <c r="J155" s="205"/>
      <c r="K155" s="205"/>
      <c r="L155" s="205"/>
      <c r="M155" s="205"/>
      <c r="N155" s="205"/>
      <c r="O155" s="205"/>
      <c r="P155" s="205"/>
      <c r="Q155" s="205"/>
      <c r="R155" s="205"/>
      <c r="S155" s="205"/>
      <c r="T155" s="205"/>
      <c r="U155" s="205"/>
      <c r="V155" s="205"/>
      <c r="W155" s="205"/>
      <c r="X155" s="205"/>
      <c r="Y155" s="1046"/>
    </row>
    <row r="156" spans="2:27" ht="17.100000000000001" customHeight="1">
      <c r="B156" s="111"/>
      <c r="C156" s="111"/>
      <c r="D156" s="1039"/>
      <c r="E156" s="1040"/>
      <c r="F156" s="1041"/>
      <c r="G156" s="1045"/>
      <c r="H156" s="205"/>
      <c r="I156" s="205"/>
      <c r="J156" s="205"/>
      <c r="K156" s="205"/>
      <c r="L156" s="205"/>
      <c r="M156" s="205"/>
      <c r="N156" s="205"/>
      <c r="O156" s="205"/>
      <c r="P156" s="205"/>
      <c r="Q156" s="205"/>
      <c r="R156" s="205"/>
      <c r="S156" s="205"/>
      <c r="T156" s="205"/>
      <c r="U156" s="205"/>
      <c r="V156" s="205"/>
      <c r="W156" s="205"/>
      <c r="X156" s="205"/>
      <c r="Y156" s="1046"/>
    </row>
    <row r="157" spans="2:27" ht="17.100000000000001" customHeight="1">
      <c r="B157" s="111"/>
      <c r="C157" s="111"/>
      <c r="D157" s="1039"/>
      <c r="E157" s="1040"/>
      <c r="F157" s="1041"/>
      <c r="G157" s="1045"/>
      <c r="H157" s="205"/>
      <c r="I157" s="205"/>
      <c r="J157" s="205"/>
      <c r="K157" s="205"/>
      <c r="L157" s="205"/>
      <c r="M157" s="205"/>
      <c r="N157" s="205"/>
      <c r="O157" s="205"/>
      <c r="P157" s="205"/>
      <c r="Q157" s="205"/>
      <c r="R157" s="205"/>
      <c r="S157" s="205"/>
      <c r="T157" s="205"/>
      <c r="U157" s="205"/>
      <c r="V157" s="205"/>
      <c r="W157" s="205"/>
      <c r="X157" s="205"/>
      <c r="Y157" s="1046"/>
    </row>
    <row r="158" spans="2:27" ht="17.100000000000001" customHeight="1">
      <c r="B158" s="111"/>
      <c r="C158" s="111"/>
      <c r="D158" s="1039"/>
      <c r="E158" s="1040"/>
      <c r="F158" s="1041"/>
      <c r="G158" s="1045"/>
      <c r="H158" s="205"/>
      <c r="I158" s="205"/>
      <c r="J158" s="205"/>
      <c r="K158" s="205"/>
      <c r="L158" s="205"/>
      <c r="M158" s="205"/>
      <c r="N158" s="205"/>
      <c r="O158" s="205"/>
      <c r="P158" s="205"/>
      <c r="Q158" s="205"/>
      <c r="R158" s="205"/>
      <c r="S158" s="205"/>
      <c r="T158" s="205"/>
      <c r="U158" s="205"/>
      <c r="V158" s="205"/>
      <c r="W158" s="205"/>
      <c r="X158" s="205"/>
      <c r="Y158" s="1046"/>
    </row>
    <row r="159" spans="2:27" ht="17.100000000000001" customHeight="1">
      <c r="B159" s="111"/>
      <c r="C159" s="111"/>
      <c r="D159" s="1039"/>
      <c r="E159" s="1040"/>
      <c r="F159" s="1041"/>
      <c r="G159" s="1045"/>
      <c r="H159" s="205"/>
      <c r="I159" s="205"/>
      <c r="J159" s="205"/>
      <c r="K159" s="205"/>
      <c r="L159" s="205"/>
      <c r="M159" s="205"/>
      <c r="N159" s="205"/>
      <c r="O159" s="205"/>
      <c r="P159" s="205"/>
      <c r="Q159" s="205"/>
      <c r="R159" s="205"/>
      <c r="S159" s="205"/>
      <c r="T159" s="205"/>
      <c r="U159" s="205"/>
      <c r="V159" s="205"/>
      <c r="W159" s="205"/>
      <c r="X159" s="205"/>
      <c r="Y159" s="1046"/>
    </row>
    <row r="160" spans="2:27" ht="17.100000000000001" customHeight="1">
      <c r="B160" s="111"/>
      <c r="C160" s="111"/>
      <c r="D160" s="1039"/>
      <c r="E160" s="1040"/>
      <c r="F160" s="1041"/>
      <c r="G160" s="1045"/>
      <c r="H160" s="205"/>
      <c r="I160" s="205"/>
      <c r="J160" s="205"/>
      <c r="K160" s="205"/>
      <c r="L160" s="205"/>
      <c r="M160" s="205"/>
      <c r="N160" s="205"/>
      <c r="O160" s="205"/>
      <c r="P160" s="205"/>
      <c r="Q160" s="205"/>
      <c r="R160" s="205"/>
      <c r="S160" s="205"/>
      <c r="T160" s="205"/>
      <c r="U160" s="205"/>
      <c r="V160" s="205"/>
      <c r="W160" s="205"/>
      <c r="X160" s="205"/>
      <c r="Y160" s="1046"/>
    </row>
    <row r="161" spans="2:25" ht="17.100000000000001" customHeight="1">
      <c r="B161" s="111"/>
      <c r="C161" s="111"/>
      <c r="D161" s="1039"/>
      <c r="E161" s="1040"/>
      <c r="F161" s="1041"/>
      <c r="G161" s="1045"/>
      <c r="H161" s="205"/>
      <c r="I161" s="205"/>
      <c r="J161" s="205"/>
      <c r="K161" s="205"/>
      <c r="L161" s="205"/>
      <c r="M161" s="205"/>
      <c r="N161" s="205"/>
      <c r="O161" s="205"/>
      <c r="P161" s="205"/>
      <c r="Q161" s="205"/>
      <c r="R161" s="205"/>
      <c r="S161" s="205"/>
      <c r="T161" s="205"/>
      <c r="U161" s="205"/>
      <c r="V161" s="205"/>
      <c r="W161" s="205"/>
      <c r="X161" s="205"/>
      <c r="Y161" s="1046"/>
    </row>
    <row r="162" spans="2:25" ht="17.100000000000001" customHeight="1">
      <c r="B162" s="111"/>
      <c r="C162" s="111"/>
      <c r="D162" s="1039"/>
      <c r="E162" s="1040"/>
      <c r="F162" s="1041"/>
      <c r="G162" s="1045"/>
      <c r="H162" s="205"/>
      <c r="I162" s="205"/>
      <c r="J162" s="205"/>
      <c r="K162" s="205"/>
      <c r="L162" s="205"/>
      <c r="M162" s="205"/>
      <c r="N162" s="205"/>
      <c r="O162" s="205"/>
      <c r="P162" s="205"/>
      <c r="Q162" s="205"/>
      <c r="R162" s="205"/>
      <c r="S162" s="205"/>
      <c r="T162" s="205"/>
      <c r="U162" s="205"/>
      <c r="V162" s="205"/>
      <c r="W162" s="205"/>
      <c r="X162" s="205"/>
      <c r="Y162" s="1046"/>
    </row>
    <row r="163" spans="2:25" ht="17.100000000000001" customHeight="1">
      <c r="B163" s="111"/>
      <c r="C163" s="111"/>
      <c r="D163" s="1039"/>
      <c r="E163" s="1040"/>
      <c r="F163" s="1041"/>
      <c r="G163" s="1045"/>
      <c r="H163" s="205"/>
      <c r="I163" s="205"/>
      <c r="J163" s="205"/>
      <c r="K163" s="205"/>
      <c r="L163" s="205"/>
      <c r="M163" s="205"/>
      <c r="N163" s="205"/>
      <c r="O163" s="205"/>
      <c r="P163" s="205"/>
      <c r="Q163" s="205"/>
      <c r="R163" s="205"/>
      <c r="S163" s="205"/>
      <c r="T163" s="205"/>
      <c r="U163" s="205"/>
      <c r="V163" s="205"/>
      <c r="W163" s="205"/>
      <c r="X163" s="205"/>
      <c r="Y163" s="1046"/>
    </row>
    <row r="164" spans="2:25" ht="17.100000000000001" customHeight="1">
      <c r="B164" s="111"/>
      <c r="C164" s="111"/>
      <c r="D164" s="986"/>
      <c r="E164" s="987"/>
      <c r="F164" s="988"/>
      <c r="G164" s="1047"/>
      <c r="H164" s="1048"/>
      <c r="I164" s="1048"/>
      <c r="J164" s="1048"/>
      <c r="K164" s="1048"/>
      <c r="L164" s="1048"/>
      <c r="M164" s="1048"/>
      <c r="N164" s="1048"/>
      <c r="O164" s="1048"/>
      <c r="P164" s="1048"/>
      <c r="Q164" s="1048"/>
      <c r="R164" s="1048"/>
      <c r="S164" s="1048"/>
      <c r="T164" s="1048"/>
      <c r="U164" s="1048"/>
      <c r="V164" s="1048"/>
      <c r="W164" s="1048"/>
      <c r="X164" s="1048"/>
      <c r="Y164" s="1049"/>
    </row>
    <row r="165" spans="2:25" ht="17.100000000000001" customHeight="1">
      <c r="B165" s="111"/>
      <c r="C165" s="111"/>
      <c r="D165" s="977" t="s">
        <v>5</v>
      </c>
      <c r="E165" s="977"/>
      <c r="F165" s="977"/>
      <c r="G165" s="978" t="s">
        <v>6</v>
      </c>
      <c r="H165" s="978"/>
      <c r="I165" s="978" t="str">
        <f>기업명!H124</f>
        <v>강현석, 백상열</v>
      </c>
      <c r="J165" s="978"/>
      <c r="K165" s="978"/>
      <c r="L165" s="978"/>
      <c r="M165" s="978"/>
      <c r="N165" s="978" t="s">
        <v>7</v>
      </c>
      <c r="O165" s="978"/>
      <c r="P165" s="978">
        <f>기업명!H125</f>
        <v>164</v>
      </c>
      <c r="Q165" s="978"/>
      <c r="R165" s="978"/>
      <c r="S165" s="980" t="s">
        <v>50</v>
      </c>
      <c r="T165" s="980"/>
      <c r="U165" s="980"/>
      <c r="V165" s="980"/>
      <c r="W165" s="980"/>
      <c r="X165" s="980"/>
      <c r="Y165" s="980"/>
    </row>
    <row r="166" spans="2:25" ht="17.100000000000001" customHeight="1">
      <c r="B166" s="111"/>
      <c r="C166" s="111"/>
      <c r="D166" s="977" t="s">
        <v>49</v>
      </c>
      <c r="E166" s="977"/>
      <c r="F166" s="977"/>
      <c r="G166" s="980" t="str">
        <f>기업명!H126</f>
        <v>SEAT PAD, HEAD REST, ARM REST</v>
      </c>
      <c r="H166" s="980"/>
      <c r="I166" s="980"/>
      <c r="J166" s="980"/>
      <c r="K166" s="980"/>
      <c r="L166" s="980"/>
      <c r="M166" s="980"/>
      <c r="N166" s="980"/>
      <c r="O166" s="980"/>
      <c r="P166" s="980"/>
      <c r="Q166" s="980"/>
      <c r="R166" s="980"/>
      <c r="S166" s="980"/>
      <c r="T166" s="980"/>
      <c r="U166" s="980"/>
      <c r="V166" s="980"/>
      <c r="W166" s="980"/>
      <c r="X166" s="980"/>
      <c r="Y166" s="980"/>
    </row>
    <row r="167" spans="2:25" ht="17.100000000000001" customHeight="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row>
    <row r="168" spans="2:25" ht="17.100000000000001" customHeight="1">
      <c r="B168" s="111"/>
      <c r="C168" s="123" t="s">
        <v>9</v>
      </c>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row>
    <row r="169" spans="2:25" ht="17.100000000000001" customHeight="1" thickBot="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24" t="s">
        <v>53</v>
      </c>
      <c r="X169" s="111"/>
      <c r="Y169" s="111"/>
    </row>
    <row r="170" spans="2:25" ht="17.100000000000001" customHeight="1">
      <c r="B170" s="111"/>
      <c r="C170" s="111"/>
      <c r="D170" s="1034" t="s">
        <v>51</v>
      </c>
      <c r="E170" s="809"/>
      <c r="F170" s="809"/>
      <c r="G170" s="809"/>
      <c r="H170" s="809"/>
      <c r="I170" s="809"/>
      <c r="J170" s="809"/>
      <c r="K170" s="809"/>
      <c r="L170" s="809"/>
      <c r="M170" s="810"/>
      <c r="N170" s="808" t="str">
        <f>기업명!H128</f>
        <v>2021년</v>
      </c>
      <c r="O170" s="809"/>
      <c r="P170" s="809"/>
      <c r="Q170" s="809"/>
      <c r="R170" s="809"/>
      <c r="S170" s="810"/>
      <c r="T170" s="808" t="str">
        <f>기업명!H145</f>
        <v>2022년</v>
      </c>
      <c r="U170" s="809"/>
      <c r="V170" s="809"/>
      <c r="W170" s="809"/>
      <c r="X170" s="809"/>
      <c r="Y170" s="1033"/>
    </row>
    <row r="171" spans="2:25" ht="15.95" customHeight="1">
      <c r="B171" s="111"/>
      <c r="C171" s="111"/>
      <c r="D171" s="1011" t="s">
        <v>10</v>
      </c>
      <c r="E171" s="829"/>
      <c r="F171" s="829"/>
      <c r="G171" s="829"/>
      <c r="H171" s="829"/>
      <c r="I171" s="829"/>
      <c r="J171" s="829"/>
      <c r="K171" s="829"/>
      <c r="L171" s="829"/>
      <c r="M171" s="830"/>
      <c r="N171" s="1007">
        <f>기업명!H129</f>
        <v>95389897</v>
      </c>
      <c r="O171" s="1008"/>
      <c r="P171" s="1008"/>
      <c r="Q171" s="1008"/>
      <c r="R171" s="1008"/>
      <c r="S171" s="1010"/>
      <c r="T171" s="1007">
        <f>기업명!H146</f>
        <v>113099416</v>
      </c>
      <c r="U171" s="1008"/>
      <c r="V171" s="1008"/>
      <c r="W171" s="1008"/>
      <c r="X171" s="1008"/>
      <c r="Y171" s="1009"/>
    </row>
    <row r="172" spans="2:25" ht="15.95" customHeight="1">
      <c r="B172" s="111"/>
      <c r="C172" s="111"/>
      <c r="D172" s="1011" t="s">
        <v>11</v>
      </c>
      <c r="E172" s="829"/>
      <c r="F172" s="829"/>
      <c r="G172" s="829"/>
      <c r="H172" s="829"/>
      <c r="I172" s="829"/>
      <c r="J172" s="829"/>
      <c r="K172" s="829"/>
      <c r="L172" s="829"/>
      <c r="M172" s="830"/>
      <c r="N172" s="1007">
        <f>기업명!H130</f>
        <v>69553403</v>
      </c>
      <c r="O172" s="1008"/>
      <c r="P172" s="1008"/>
      <c r="Q172" s="1008"/>
      <c r="R172" s="1008"/>
      <c r="S172" s="1010"/>
      <c r="T172" s="1007">
        <f>기업명!H147</f>
        <v>75706930</v>
      </c>
      <c r="U172" s="1008"/>
      <c r="V172" s="1008"/>
      <c r="W172" s="1008"/>
      <c r="X172" s="1008"/>
      <c r="Y172" s="1009"/>
    </row>
    <row r="173" spans="2:25" ht="15.95" customHeight="1">
      <c r="B173" s="111"/>
      <c r="C173" s="111"/>
      <c r="D173" s="1025" t="s">
        <v>12</v>
      </c>
      <c r="E173" s="1026"/>
      <c r="F173" s="1026"/>
      <c r="G173" s="1026"/>
      <c r="H173" s="1026"/>
      <c r="I173" s="1026"/>
      <c r="J173" s="1026"/>
      <c r="K173" s="1026"/>
      <c r="L173" s="1026"/>
      <c r="M173" s="1027"/>
      <c r="N173" s="1028">
        <f>N171+N172</f>
        <v>164943300</v>
      </c>
      <c r="O173" s="1029"/>
      <c r="P173" s="1029"/>
      <c r="Q173" s="1029"/>
      <c r="R173" s="1029"/>
      <c r="S173" s="1030"/>
      <c r="T173" s="1028">
        <f>T171+T172</f>
        <v>188806346</v>
      </c>
      <c r="U173" s="1029"/>
      <c r="V173" s="1029"/>
      <c r="W173" s="1029"/>
      <c r="X173" s="1029"/>
      <c r="Y173" s="1031"/>
    </row>
    <row r="174" spans="2:25" ht="15.95" customHeight="1">
      <c r="B174" s="111"/>
      <c r="C174" s="111"/>
      <c r="D174" s="1011" t="s">
        <v>13</v>
      </c>
      <c r="E174" s="829"/>
      <c r="F174" s="829"/>
      <c r="G174" s="829"/>
      <c r="H174" s="829"/>
      <c r="I174" s="829"/>
      <c r="J174" s="829"/>
      <c r="K174" s="829"/>
      <c r="L174" s="829"/>
      <c r="M174" s="830"/>
      <c r="N174" s="1007">
        <f>기업명!H132</f>
        <v>43355324</v>
      </c>
      <c r="O174" s="1008"/>
      <c r="P174" s="1008"/>
      <c r="Q174" s="1008"/>
      <c r="R174" s="1008"/>
      <c r="S174" s="1010"/>
      <c r="T174" s="1007">
        <f>기업명!H149</f>
        <v>55850715</v>
      </c>
      <c r="U174" s="1008"/>
      <c r="V174" s="1008"/>
      <c r="W174" s="1008"/>
      <c r="X174" s="1008"/>
      <c r="Y174" s="1009"/>
    </row>
    <row r="175" spans="2:25" ht="15.95" customHeight="1">
      <c r="B175" s="111"/>
      <c r="C175" s="111"/>
      <c r="D175" s="1011" t="s">
        <v>14</v>
      </c>
      <c r="E175" s="829"/>
      <c r="F175" s="829"/>
      <c r="G175" s="829"/>
      <c r="H175" s="829"/>
      <c r="I175" s="829"/>
      <c r="J175" s="829"/>
      <c r="K175" s="829"/>
      <c r="L175" s="829"/>
      <c r="M175" s="830"/>
      <c r="N175" s="1007">
        <f>기업명!H133</f>
        <v>1845611</v>
      </c>
      <c r="O175" s="1008"/>
      <c r="P175" s="1008"/>
      <c r="Q175" s="1008"/>
      <c r="R175" s="1008"/>
      <c r="S175" s="1010"/>
      <c r="T175" s="1007">
        <f>기업명!H150</f>
        <v>1027920</v>
      </c>
      <c r="U175" s="1008"/>
      <c r="V175" s="1008"/>
      <c r="W175" s="1008"/>
      <c r="X175" s="1008"/>
      <c r="Y175" s="1009"/>
    </row>
    <row r="176" spans="2:25" ht="15.95" customHeight="1">
      <c r="B176" s="111"/>
      <c r="C176" s="111"/>
      <c r="D176" s="1025" t="s">
        <v>15</v>
      </c>
      <c r="E176" s="1026"/>
      <c r="F176" s="1026"/>
      <c r="G176" s="1026"/>
      <c r="H176" s="1026"/>
      <c r="I176" s="1026"/>
      <c r="J176" s="1026"/>
      <c r="K176" s="1026"/>
      <c r="L176" s="1026"/>
      <c r="M176" s="1027"/>
      <c r="N176" s="1028">
        <f>N174+N175</f>
        <v>45200935</v>
      </c>
      <c r="O176" s="1029"/>
      <c r="P176" s="1029"/>
      <c r="Q176" s="1029"/>
      <c r="R176" s="1029"/>
      <c r="S176" s="1030"/>
      <c r="T176" s="1028">
        <f>T174+T175</f>
        <v>56878635</v>
      </c>
      <c r="U176" s="1029"/>
      <c r="V176" s="1029"/>
      <c r="W176" s="1029"/>
      <c r="X176" s="1029"/>
      <c r="Y176" s="1031"/>
    </row>
    <row r="177" spans="2:28" ht="15.95" customHeight="1">
      <c r="B177" s="111"/>
      <c r="C177" s="111"/>
      <c r="D177" s="1011" t="s">
        <v>16</v>
      </c>
      <c r="E177" s="829"/>
      <c r="F177" s="829"/>
      <c r="G177" s="829"/>
      <c r="H177" s="829"/>
      <c r="I177" s="829"/>
      <c r="J177" s="829"/>
      <c r="K177" s="829"/>
      <c r="L177" s="829"/>
      <c r="M177" s="830"/>
      <c r="N177" s="1007">
        <f>기업명!H135</f>
        <v>7670000</v>
      </c>
      <c r="O177" s="1008"/>
      <c r="P177" s="1008"/>
      <c r="Q177" s="1008"/>
      <c r="R177" s="1008"/>
      <c r="S177" s="1010"/>
      <c r="T177" s="1007">
        <f>기업명!H152</f>
        <v>7670000</v>
      </c>
      <c r="U177" s="1008"/>
      <c r="V177" s="1008"/>
      <c r="W177" s="1008"/>
      <c r="X177" s="1008"/>
      <c r="Y177" s="1009"/>
    </row>
    <row r="178" spans="2:28" ht="15.95" customHeight="1">
      <c r="B178" s="111"/>
      <c r="C178" s="111"/>
      <c r="D178" s="1011" t="s">
        <v>52</v>
      </c>
      <c r="E178" s="829"/>
      <c r="F178" s="829"/>
      <c r="G178" s="829"/>
      <c r="H178" s="829"/>
      <c r="I178" s="829"/>
      <c r="J178" s="829"/>
      <c r="K178" s="829"/>
      <c r="L178" s="829"/>
      <c r="M178" s="830"/>
      <c r="N178" s="1007">
        <f>기업명!H136</f>
        <v>16452121</v>
      </c>
      <c r="O178" s="1008"/>
      <c r="P178" s="1008"/>
      <c r="Q178" s="1008"/>
      <c r="R178" s="1008"/>
      <c r="S178" s="1010"/>
      <c r="T178" s="1007">
        <f>기업명!H153</f>
        <v>16452121</v>
      </c>
      <c r="U178" s="1008"/>
      <c r="V178" s="1008"/>
      <c r="W178" s="1008"/>
      <c r="X178" s="1008"/>
      <c r="Y178" s="1009"/>
    </row>
    <row r="179" spans="2:28" ht="15.95" customHeight="1">
      <c r="B179" s="111"/>
      <c r="C179" s="111"/>
      <c r="D179" s="1011" t="s">
        <v>17</v>
      </c>
      <c r="E179" s="829"/>
      <c r="F179" s="829"/>
      <c r="G179" s="829"/>
      <c r="H179" s="829"/>
      <c r="I179" s="829"/>
      <c r="J179" s="829"/>
      <c r="K179" s="829"/>
      <c r="L179" s="829"/>
      <c r="M179" s="830"/>
      <c r="N179" s="1007">
        <f>기업명!H137</f>
        <v>95046001</v>
      </c>
      <c r="O179" s="1008"/>
      <c r="P179" s="1008"/>
      <c r="Q179" s="1008"/>
      <c r="R179" s="1008"/>
      <c r="S179" s="1010"/>
      <c r="T179" s="1007">
        <f>기업명!H154</f>
        <v>106474563</v>
      </c>
      <c r="U179" s="1008"/>
      <c r="V179" s="1008"/>
      <c r="W179" s="1008"/>
      <c r="X179" s="1008"/>
      <c r="Y179" s="1009"/>
    </row>
    <row r="180" spans="2:28" ht="15.95" customHeight="1">
      <c r="B180" s="111"/>
      <c r="C180" s="111"/>
      <c r="D180" s="1011" t="s">
        <v>18</v>
      </c>
      <c r="E180" s="829"/>
      <c r="F180" s="829"/>
      <c r="G180" s="829"/>
      <c r="H180" s="829"/>
      <c r="I180" s="829"/>
      <c r="J180" s="829"/>
      <c r="K180" s="829"/>
      <c r="L180" s="829"/>
      <c r="M180" s="830"/>
      <c r="N180" s="1007">
        <f>기업명!H138</f>
        <v>46903</v>
      </c>
      <c r="O180" s="1008"/>
      <c r="P180" s="1008"/>
      <c r="Q180" s="1008"/>
      <c r="R180" s="1008"/>
      <c r="S180" s="1010"/>
      <c r="T180" s="1007">
        <f>기업명!H155</f>
        <v>-246666</v>
      </c>
      <c r="U180" s="1008"/>
      <c r="V180" s="1008"/>
      <c r="W180" s="1008"/>
      <c r="X180" s="1008"/>
      <c r="Y180" s="1009"/>
    </row>
    <row r="181" spans="2:28" ht="15.95" customHeight="1">
      <c r="B181" s="111"/>
      <c r="C181" s="111"/>
      <c r="D181" s="1025" t="s">
        <v>19</v>
      </c>
      <c r="E181" s="1026"/>
      <c r="F181" s="1026"/>
      <c r="G181" s="1026"/>
      <c r="H181" s="1026"/>
      <c r="I181" s="1026"/>
      <c r="J181" s="1026"/>
      <c r="K181" s="1026"/>
      <c r="L181" s="1026"/>
      <c r="M181" s="1027"/>
      <c r="N181" s="1028">
        <f>SUM(N177:S180)</f>
        <v>119215025</v>
      </c>
      <c r="O181" s="1029"/>
      <c r="P181" s="1029"/>
      <c r="Q181" s="1029"/>
      <c r="R181" s="1029"/>
      <c r="S181" s="1030"/>
      <c r="T181" s="1028">
        <f>SUM(T177:Y180)</f>
        <v>130350018</v>
      </c>
      <c r="U181" s="1029"/>
      <c r="V181" s="1029"/>
      <c r="W181" s="1029"/>
      <c r="X181" s="1029"/>
      <c r="Y181" s="1031"/>
    </row>
    <row r="182" spans="2:28" ht="15.95" customHeight="1">
      <c r="B182" s="111"/>
      <c r="C182" s="111"/>
      <c r="D182" s="1011" t="s">
        <v>20</v>
      </c>
      <c r="E182" s="829"/>
      <c r="F182" s="829"/>
      <c r="G182" s="829"/>
      <c r="H182" s="829"/>
      <c r="I182" s="829"/>
      <c r="J182" s="829"/>
      <c r="K182" s="829"/>
      <c r="L182" s="829"/>
      <c r="M182" s="830"/>
      <c r="N182" s="1007">
        <f>기업명!H140</f>
        <v>235627185</v>
      </c>
      <c r="O182" s="1008"/>
      <c r="P182" s="1008"/>
      <c r="Q182" s="1008"/>
      <c r="R182" s="1008"/>
      <c r="S182" s="1010"/>
      <c r="T182" s="1007">
        <f>기업명!H157</f>
        <v>264472240</v>
      </c>
      <c r="U182" s="1008"/>
      <c r="V182" s="1008"/>
      <c r="W182" s="1008"/>
      <c r="X182" s="1008"/>
      <c r="Y182" s="1009"/>
    </row>
    <row r="183" spans="2:28" ht="15.95" customHeight="1">
      <c r="B183" s="111"/>
      <c r="C183" s="111"/>
      <c r="D183" s="1011" t="s">
        <v>21</v>
      </c>
      <c r="E183" s="829"/>
      <c r="F183" s="829"/>
      <c r="G183" s="829"/>
      <c r="H183" s="829"/>
      <c r="I183" s="829"/>
      <c r="J183" s="829"/>
      <c r="K183" s="829"/>
      <c r="L183" s="829"/>
      <c r="M183" s="830"/>
      <c r="N183" s="1007">
        <f>기업명!H141</f>
        <v>11532572</v>
      </c>
      <c r="O183" s="1008"/>
      <c r="P183" s="1008"/>
      <c r="Q183" s="1008"/>
      <c r="R183" s="1008"/>
      <c r="S183" s="1010"/>
      <c r="T183" s="1007">
        <f>기업명!H158</f>
        <v>15472508</v>
      </c>
      <c r="U183" s="1008"/>
      <c r="V183" s="1008"/>
      <c r="W183" s="1008"/>
      <c r="X183" s="1008"/>
      <c r="Y183" s="1009"/>
    </row>
    <row r="184" spans="2:28" ht="15.95" customHeight="1">
      <c r="B184" s="111"/>
      <c r="C184" s="111"/>
      <c r="D184" s="1011" t="s">
        <v>22</v>
      </c>
      <c r="E184" s="829"/>
      <c r="F184" s="829"/>
      <c r="G184" s="829"/>
      <c r="H184" s="829"/>
      <c r="I184" s="829"/>
      <c r="J184" s="829"/>
      <c r="K184" s="829"/>
      <c r="L184" s="829"/>
      <c r="M184" s="830"/>
      <c r="N184" s="1007">
        <f>기업명!H142</f>
        <v>14876594</v>
      </c>
      <c r="O184" s="1008"/>
      <c r="P184" s="1008"/>
      <c r="Q184" s="1008"/>
      <c r="R184" s="1008"/>
      <c r="S184" s="1010"/>
      <c r="T184" s="1007">
        <f>기업명!H159</f>
        <v>16850898</v>
      </c>
      <c r="U184" s="1008"/>
      <c r="V184" s="1008"/>
      <c r="W184" s="1008"/>
      <c r="X184" s="1008"/>
      <c r="Y184" s="1009"/>
    </row>
    <row r="185" spans="2:28" ht="15.95" customHeight="1">
      <c r="B185" s="111"/>
      <c r="C185" s="111"/>
      <c r="D185" s="1011" t="s">
        <v>23</v>
      </c>
      <c r="E185" s="829"/>
      <c r="F185" s="829"/>
      <c r="G185" s="829"/>
      <c r="H185" s="829"/>
      <c r="I185" s="829"/>
      <c r="J185" s="829"/>
      <c r="K185" s="829"/>
      <c r="L185" s="829"/>
      <c r="M185" s="830"/>
      <c r="N185" s="1007">
        <f>기업명!H143</f>
        <v>11081872</v>
      </c>
      <c r="O185" s="1008"/>
      <c r="P185" s="1008"/>
      <c r="Q185" s="1008"/>
      <c r="R185" s="1008"/>
      <c r="S185" s="1010"/>
      <c r="T185" s="1007">
        <f>기업명!H160</f>
        <v>13111122</v>
      </c>
      <c r="U185" s="1008"/>
      <c r="V185" s="1008"/>
      <c r="W185" s="1008"/>
      <c r="X185" s="1008"/>
      <c r="Y185" s="1009"/>
    </row>
    <row r="186" spans="2:28" ht="15.95" customHeight="1" thickBot="1">
      <c r="B186" s="111"/>
      <c r="C186" s="111"/>
      <c r="D186" s="1012" t="s">
        <v>24</v>
      </c>
      <c r="E186" s="1013"/>
      <c r="F186" s="1013"/>
      <c r="G186" s="1013"/>
      <c r="H186" s="1013"/>
      <c r="I186" s="1013"/>
      <c r="J186" s="1013"/>
      <c r="K186" s="1013"/>
      <c r="L186" s="1013"/>
      <c r="M186" s="1014"/>
      <c r="N186" s="1015">
        <f>기업명!H144</f>
        <v>2844</v>
      </c>
      <c r="O186" s="1016"/>
      <c r="P186" s="1016"/>
      <c r="Q186" s="1016"/>
      <c r="R186" s="1016"/>
      <c r="S186" s="1017"/>
      <c r="T186" s="1015">
        <f>기업명!H161</f>
        <v>2660</v>
      </c>
      <c r="U186" s="1016"/>
      <c r="V186" s="1016"/>
      <c r="W186" s="1016"/>
      <c r="X186" s="1016"/>
      <c r="Y186" s="1018"/>
    </row>
    <row r="187" spans="2:28" ht="17.100000000000001" customHeight="1" thickBot="1"/>
    <row r="188" spans="2:28" ht="24.95" customHeight="1" thickBot="1">
      <c r="B188" s="791" t="s">
        <v>605</v>
      </c>
      <c r="C188" s="792"/>
      <c r="D188" s="793" t="s">
        <v>604</v>
      </c>
      <c r="E188" s="794"/>
      <c r="F188" s="794"/>
      <c r="G188" s="794"/>
      <c r="H188" s="794"/>
      <c r="I188" s="794"/>
      <c r="J188" s="794"/>
      <c r="K188" s="794"/>
    </row>
    <row r="189" spans="2:28" ht="17.100000000000001" customHeight="1">
      <c r="B189" s="14"/>
      <c r="C189" s="14"/>
      <c r="D189" s="14"/>
      <c r="E189" s="14"/>
      <c r="F189" s="14"/>
      <c r="G189" s="14"/>
    </row>
    <row r="190" spans="2:28" ht="17.100000000000001" customHeight="1">
      <c r="B190" s="123" t="s">
        <v>28</v>
      </c>
    </row>
    <row r="191" spans="2:28" ht="17.100000000000001" customHeight="1">
      <c r="C191" s="1032" t="s">
        <v>126</v>
      </c>
      <c r="D191" s="1032"/>
      <c r="E191" s="1032"/>
      <c r="F191" s="977" t="s">
        <v>127</v>
      </c>
      <c r="G191" s="977"/>
      <c r="H191" s="977"/>
      <c r="I191" s="977"/>
      <c r="J191" s="977"/>
      <c r="K191" s="977"/>
      <c r="L191" s="977"/>
      <c r="M191" s="977"/>
      <c r="N191" s="977"/>
      <c r="O191" s="977"/>
      <c r="P191" s="977" t="s">
        <v>130</v>
      </c>
      <c r="Q191" s="977"/>
      <c r="R191" s="977"/>
      <c r="S191" s="977"/>
      <c r="T191" s="977"/>
      <c r="U191" s="977"/>
      <c r="V191" s="977"/>
      <c r="W191" s="977"/>
      <c r="X191" s="977"/>
      <c r="Y191" s="977"/>
      <c r="Z191" s="16"/>
      <c r="AA191" s="16"/>
      <c r="AB191" s="16"/>
    </row>
    <row r="192" spans="2:28" ht="17.100000000000001" customHeight="1">
      <c r="C192" s="1032"/>
      <c r="D192" s="1032"/>
      <c r="E192" s="1032"/>
      <c r="F192" s="977" t="s">
        <v>128</v>
      </c>
      <c r="G192" s="977"/>
      <c r="H192" s="977"/>
      <c r="I192" s="977"/>
      <c r="J192" s="977"/>
      <c r="K192" s="977" t="s">
        <v>129</v>
      </c>
      <c r="L192" s="977"/>
      <c r="M192" s="977"/>
      <c r="N192" s="977"/>
      <c r="O192" s="977"/>
      <c r="P192" s="977" t="s">
        <v>128</v>
      </c>
      <c r="Q192" s="977"/>
      <c r="R192" s="977"/>
      <c r="S192" s="977"/>
      <c r="T192" s="977"/>
      <c r="U192" s="977" t="s">
        <v>129</v>
      </c>
      <c r="V192" s="977"/>
      <c r="W192" s="977"/>
      <c r="X192" s="977"/>
      <c r="Y192" s="977"/>
      <c r="Z192" s="16"/>
      <c r="AA192" s="16"/>
      <c r="AB192" s="16"/>
    </row>
    <row r="193" spans="1:25" ht="17.25" customHeight="1">
      <c r="A193" s="12">
        <v>0</v>
      </c>
      <c r="B193" s="81">
        <v>1</v>
      </c>
      <c r="C193" s="815" t="str">
        <f>IFERROR(VLOOKUP($B193,기업명!$CT$167:$CV$186,2,0),"")</f>
        <v>온실가스 저감</v>
      </c>
      <c r="D193" s="816"/>
      <c r="E193" s="817"/>
      <c r="F193" s="950" t="str">
        <f>IFERROR(VLOOKUP($B193,기업명!$H$167:$AH$264,6,0),"")</f>
        <v>온조기 내에 6kW 히터가 내장되어 있는 형태</v>
      </c>
      <c r="G193" s="950"/>
      <c r="H193" s="950"/>
      <c r="I193" s="950"/>
      <c r="J193" s="950"/>
      <c r="K193" s="950" t="str">
        <f>IFERROR(VLOOKUP($B193,기업명!$H$167:$AH$264,11,0),"")</f>
        <v>온조기 내의 히터를 5.5kW 장치로 교체</v>
      </c>
      <c r="L193" s="950"/>
      <c r="M193" s="950"/>
      <c r="N193" s="950"/>
      <c r="O193" s="950"/>
      <c r="P193" s="969" t="str">
        <f>IFERROR(VLOOKUP($B193,기업명!$H$167:$AH$264,16,0) &amp; VLOOKUP($B193,기업명!$H$167:$AH$264,25,0),"")</f>
        <v>1558.7tCO2eq/년</v>
      </c>
      <c r="Q193" s="969"/>
      <c r="R193" s="969"/>
      <c r="S193" s="969"/>
      <c r="T193" s="969"/>
      <c r="U193" s="969" t="str">
        <f>IFERROR(VLOOKUP($B193,기업명!$H$167:$AH$254,19,0) &amp; VLOOKUP($B193,기업명!$H$167:$AH$254,25,0),"")</f>
        <v>1428.8tCO2eq/년</v>
      </c>
      <c r="V193" s="969"/>
      <c r="W193" s="969"/>
      <c r="X193" s="969"/>
      <c r="Y193" s="969"/>
    </row>
    <row r="194" spans="1:25" ht="17.25" customHeight="1">
      <c r="A194" s="12">
        <v>1</v>
      </c>
      <c r="B194" s="81">
        <v>1</v>
      </c>
      <c r="C194" s="815" t="str">
        <f>IFERROR("(" &amp; VLOOKUP($B194,기업명!$CT$167:$CV$186,3,0) &amp; ")","")</f>
        <v>(폼패드 성형공정 온조기 히터시설)</v>
      </c>
      <c r="D194" s="816"/>
      <c r="E194" s="817"/>
      <c r="F194" s="950"/>
      <c r="G194" s="950"/>
      <c r="H194" s="950"/>
      <c r="I194" s="950"/>
      <c r="J194" s="950"/>
      <c r="K194" s="950"/>
      <c r="L194" s="950"/>
      <c r="M194" s="950"/>
      <c r="N194" s="950"/>
      <c r="O194" s="950"/>
      <c r="P194" s="969"/>
      <c r="Q194" s="969"/>
      <c r="R194" s="969"/>
      <c r="S194" s="969"/>
      <c r="T194" s="969"/>
      <c r="U194" s="969"/>
      <c r="V194" s="969"/>
      <c r="W194" s="969"/>
      <c r="X194" s="969"/>
      <c r="Y194" s="969"/>
    </row>
    <row r="195" spans="1:25" ht="17.25" customHeight="1">
      <c r="A195" s="12">
        <v>0</v>
      </c>
      <c r="B195" s="81">
        <v>2</v>
      </c>
      <c r="C195" s="815" t="str">
        <f>IFERROR(VLOOKUP($B195,기업명!$CT$167:$CV$186,2,0),"")</f>
        <v>온실가스 저감</v>
      </c>
      <c r="D195" s="816"/>
      <c r="E195" s="817"/>
      <c r="F195" s="922" t="str">
        <f>IFERROR(VLOOKUP($B195,기업명!$H$167:$AH$264,6,0),"")</f>
        <v>유압펌프 10대, 진공 펌프 9대</v>
      </c>
      <c r="G195" s="948"/>
      <c r="H195" s="948"/>
      <c r="I195" s="948"/>
      <c r="J195" s="923"/>
      <c r="K195" s="922" t="str">
        <f>IFERROR(VLOOKUP($B195,기업명!$H$167:$AH$264,11,0),"")</f>
        <v>각 유압/진공 펌프 동력에 맞춰 가변제어 장치 부착</v>
      </c>
      <c r="L195" s="948"/>
      <c r="M195" s="948"/>
      <c r="N195" s="948"/>
      <c r="O195" s="923"/>
      <c r="P195" s="971" t="str">
        <f>IFERROR(VLOOKUP($B195,기업명!$H$167:$AH$264,16,0) &amp; VLOOKUP($B195,기업명!$H$167:$AH$264,25,0),"")</f>
        <v>382.5tCO2eq/년</v>
      </c>
      <c r="Q195" s="972"/>
      <c r="R195" s="972"/>
      <c r="S195" s="972"/>
      <c r="T195" s="973"/>
      <c r="U195" s="971" t="str">
        <f>IFERROR(VLOOKUP($B195,기업명!$H$167:$AH$254,19,0) &amp; VLOOKUP($B195,기업명!$H$167:$AH$254,25,0),"")</f>
        <v>306tCO2eq/년</v>
      </c>
      <c r="V195" s="972"/>
      <c r="W195" s="972"/>
      <c r="X195" s="972"/>
      <c r="Y195" s="973"/>
    </row>
    <row r="196" spans="1:25" ht="17.25" customHeight="1">
      <c r="A196" s="12">
        <v>2</v>
      </c>
      <c r="B196" s="81">
        <v>2</v>
      </c>
      <c r="C196" s="815" t="str">
        <f>IFERROR("(" &amp; VLOOKUP($B196,기업명!$CT$167:$CV$186,3,0) &amp; ")","")</f>
        <v>(고효율 펌프 가변제어 장치)</v>
      </c>
      <c r="D196" s="816"/>
      <c r="E196" s="817"/>
      <c r="F196" s="924"/>
      <c r="G196" s="949"/>
      <c r="H196" s="949"/>
      <c r="I196" s="949"/>
      <c r="J196" s="925"/>
      <c r="K196" s="924"/>
      <c r="L196" s="949"/>
      <c r="M196" s="949"/>
      <c r="N196" s="949"/>
      <c r="O196" s="925"/>
      <c r="P196" s="974"/>
      <c r="Q196" s="975"/>
      <c r="R196" s="975"/>
      <c r="S196" s="975"/>
      <c r="T196" s="976"/>
      <c r="U196" s="974"/>
      <c r="V196" s="975"/>
      <c r="W196" s="975"/>
      <c r="X196" s="975"/>
      <c r="Y196" s="976"/>
    </row>
    <row r="197" spans="1:25" ht="17.25" customHeight="1">
      <c r="A197" s="12">
        <v>0</v>
      </c>
      <c r="B197" s="81">
        <v>4</v>
      </c>
      <c r="C197" s="815" t="str">
        <f>IFERROR(VLOOKUP($B197,기업명!$CT$167:$CV$186,2,0),"")</f>
        <v>ICT</v>
      </c>
      <c r="D197" s="816"/>
      <c r="E197" s="817"/>
      <c r="F197" s="950" t="str">
        <f>IFERROR(VLOOKUP($B197,기업명!$H$167:$AH$264,6,0),"")</f>
        <v>대분류 형태로 시설의 세부적인 전력소비량을 알 수 없음</v>
      </c>
      <c r="G197" s="950"/>
      <c r="H197" s="950"/>
      <c r="I197" s="950"/>
      <c r="J197" s="950"/>
      <c r="K197" s="950" t="str">
        <f>IFERROR(VLOOKUP($B197,기업명!$H$167:$AH$264,11,0),"")</f>
        <v>세분류 형태로 개선하여 온조기 및 펌프시설의 전력소비량 확인</v>
      </c>
      <c r="L197" s="950"/>
      <c r="M197" s="950"/>
      <c r="N197" s="950"/>
      <c r="O197" s="950"/>
      <c r="P197" s="969" t="str">
        <f>IFERROR(VLOOKUP($B197,기업명!$H$167:$AH$264,16,0) &amp; VLOOKUP($B197,기업명!$H$167:$AH$264,25,0),"")</f>
        <v>0천원/년</v>
      </c>
      <c r="Q197" s="969"/>
      <c r="R197" s="969"/>
      <c r="S197" s="969"/>
      <c r="T197" s="969"/>
      <c r="U197" s="969" t="str">
        <f>IFERROR(VLOOKUP($B197,기업명!$H$167:$AH$254,19,0) &amp; VLOOKUP($B197,기업명!$H$167:$AH$254,25,0),"")</f>
        <v>102005천원/년</v>
      </c>
      <c r="V197" s="969"/>
      <c r="W197" s="969"/>
      <c r="X197" s="969"/>
      <c r="Y197" s="969"/>
    </row>
    <row r="198" spans="1:25" ht="17.25" customHeight="1">
      <c r="A198" s="12">
        <v>4</v>
      </c>
      <c r="B198" s="81">
        <v>4</v>
      </c>
      <c r="C198" s="815" t="str">
        <f>IFERROR("(" &amp; VLOOKUP($B198,기업명!$CT$167:$CV$186,3,0) &amp; ")","")</f>
        <v>(사업성과 모니터링시스템)</v>
      </c>
      <c r="D198" s="816"/>
      <c r="E198" s="817"/>
      <c r="F198" s="950"/>
      <c r="G198" s="950"/>
      <c r="H198" s="950"/>
      <c r="I198" s="950"/>
      <c r="J198" s="950"/>
      <c r="K198" s="950"/>
      <c r="L198" s="950"/>
      <c r="M198" s="950"/>
      <c r="N198" s="950"/>
      <c r="O198" s="950"/>
      <c r="P198" s="969"/>
      <c r="Q198" s="969"/>
      <c r="R198" s="969"/>
      <c r="S198" s="969"/>
      <c r="T198" s="969"/>
      <c r="U198" s="969"/>
      <c r="V198" s="969"/>
      <c r="W198" s="969"/>
      <c r="X198" s="969"/>
      <c r="Y198" s="969"/>
    </row>
    <row r="199" spans="1:25" ht="17.25" customHeight="1">
      <c r="A199" s="12">
        <v>0</v>
      </c>
      <c r="B199" s="81">
        <v>8</v>
      </c>
      <c r="C199" s="815" t="str">
        <f>IFERROR(VLOOKUP($B199,기업명!$CT$167:$CV$186,2,0),"")</f>
        <v>대기오염 저감</v>
      </c>
      <c r="D199" s="816"/>
      <c r="E199" s="817"/>
      <c r="F199" s="950" t="str">
        <f>IFERROR(VLOOKUP($B199,기업명!$H$167:$AH$264,6,0),"")</f>
        <v>300CMM 여과집진기 x 3기</v>
      </c>
      <c r="G199" s="950"/>
      <c r="H199" s="950"/>
      <c r="I199" s="950"/>
      <c r="J199" s="950"/>
      <c r="K199" s="950" t="str">
        <f>IFERROR(VLOOKUP($B199,기업명!$H$167:$AH$264,11,0),"")</f>
        <v>900CMM 고효율 여과집진기 x 1기</v>
      </c>
      <c r="L199" s="950"/>
      <c r="M199" s="950"/>
      <c r="N199" s="950"/>
      <c r="O199" s="950"/>
      <c r="P199" s="969" t="str">
        <f>IFERROR(VLOOKUP($B199,기업명!$H$167:$AH$264,16,0) &amp; VLOOKUP($B199,기업명!$H$167:$AH$264,25,0),"")</f>
        <v>0.0085ppm</v>
      </c>
      <c r="Q199" s="969"/>
      <c r="R199" s="969"/>
      <c r="S199" s="969"/>
      <c r="T199" s="969"/>
      <c r="U199" s="969" t="str">
        <f>IFERROR(VLOOKUP($B199,기업명!$H$167:$AH$254,19,0) &amp; VLOOKUP($B199,기업명!$H$167:$AH$254,25,0),"")</f>
        <v>0.00085ppm</v>
      </c>
      <c r="V199" s="969"/>
      <c r="W199" s="969"/>
      <c r="X199" s="969"/>
      <c r="Y199" s="969"/>
    </row>
    <row r="200" spans="1:25" ht="17.25" customHeight="1">
      <c r="A200" s="12">
        <v>8</v>
      </c>
      <c r="B200" s="81">
        <v>8</v>
      </c>
      <c r="C200" s="815" t="str">
        <f>IFERROR("(" &amp; VLOOKUP($B200,기업명!$CT$167:$CV$186,3,0) &amp; ")","")</f>
        <v>(고효율 여과 집진시설)</v>
      </c>
      <c r="D200" s="816"/>
      <c r="E200" s="817"/>
      <c r="F200" s="950"/>
      <c r="G200" s="950"/>
      <c r="H200" s="950"/>
      <c r="I200" s="950"/>
      <c r="J200" s="950"/>
      <c r="K200" s="950"/>
      <c r="L200" s="950"/>
      <c r="M200" s="950"/>
      <c r="N200" s="950"/>
      <c r="O200" s="950"/>
      <c r="P200" s="969"/>
      <c r="Q200" s="969"/>
      <c r="R200" s="969"/>
      <c r="S200" s="969"/>
      <c r="T200" s="969"/>
      <c r="U200" s="969"/>
      <c r="V200" s="969"/>
      <c r="W200" s="969"/>
      <c r="X200" s="969"/>
      <c r="Y200" s="969"/>
    </row>
    <row r="201" spans="1:25" ht="17.25" customHeight="1">
      <c r="A201" s="12">
        <v>0</v>
      </c>
      <c r="B201" s="81">
        <v>16</v>
      </c>
      <c r="C201" s="815" t="str">
        <f>IFERROR(VLOOKUP($B201,기업명!$CT$167:$CV$186,2,0),"")</f>
        <v>폐기물배출 저감</v>
      </c>
      <c r="D201" s="816"/>
      <c r="E201" s="817"/>
      <c r="F201" s="950" t="str">
        <f>IFERROR(VLOOKUP($B201,기업명!$H$167:$AH$264,6,0),"")</f>
        <v>시스템 미설치로 금형시설에 대한 불량 검사가 진행되지 않음</v>
      </c>
      <c r="G201" s="950"/>
      <c r="H201" s="950"/>
      <c r="I201" s="950"/>
      <c r="J201" s="950"/>
      <c r="K201" s="950" t="str">
        <f>IFERROR(VLOOKUP($B201,기업명!$H$167:$AH$264,11,0),"")</f>
        <v>불량 검사에 따라 원료주입을 조절하여 폐기물 배출이 저감됨</v>
      </c>
      <c r="L201" s="950"/>
      <c r="M201" s="950"/>
      <c r="N201" s="950"/>
      <c r="O201" s="950"/>
      <c r="P201" s="969" t="str">
        <f>IFERROR(VLOOKUP($B201,기업명!$H$167:$AH$264,16,0) &amp; VLOOKUP($B201,기업명!$H$167:$AH$264,25,0),"")</f>
        <v>3.5ton/년</v>
      </c>
      <c r="Q201" s="969"/>
      <c r="R201" s="969"/>
      <c r="S201" s="969"/>
      <c r="T201" s="969"/>
      <c r="U201" s="969" t="str">
        <f>IFERROR(VLOOKUP($B201,기업명!$H$167:$AH$254,19,0) &amp; VLOOKUP($B201,기업명!$H$167:$AH$254,25,0),"")</f>
        <v>0.7ton/년</v>
      </c>
      <c r="V201" s="969"/>
      <c r="W201" s="969"/>
      <c r="X201" s="969"/>
      <c r="Y201" s="969"/>
    </row>
    <row r="202" spans="1:25" ht="17.25" customHeight="1">
      <c r="A202" s="12">
        <v>16</v>
      </c>
      <c r="B202" s="81">
        <v>16</v>
      </c>
      <c r="C202" s="815" t="str">
        <f>IFERROR("(" &amp; VLOOKUP($B202,기업명!$CT$167:$CV$186,3,0) &amp; ")","")</f>
        <v>(발포라인 딥러닝 시스템)</v>
      </c>
      <c r="D202" s="816"/>
      <c r="E202" s="817"/>
      <c r="F202" s="950"/>
      <c r="G202" s="950"/>
      <c r="H202" s="950"/>
      <c r="I202" s="950"/>
      <c r="J202" s="950"/>
      <c r="K202" s="950"/>
      <c r="L202" s="950"/>
      <c r="M202" s="950"/>
      <c r="N202" s="950"/>
      <c r="O202" s="950"/>
      <c r="P202" s="969"/>
      <c r="Q202" s="969"/>
      <c r="R202" s="969"/>
      <c r="S202" s="969"/>
      <c r="T202" s="969"/>
      <c r="U202" s="969"/>
      <c r="V202" s="969"/>
      <c r="W202" s="969"/>
      <c r="X202" s="969"/>
      <c r="Y202" s="969"/>
    </row>
    <row r="203" spans="1:25" ht="17.25" customHeight="1">
      <c r="A203" s="12">
        <v>0</v>
      </c>
      <c r="B203" s="81">
        <v>32</v>
      </c>
      <c r="C203" s="815" t="str">
        <f>IFERROR(VLOOKUP($B203,기업명!$CT$167:$CV$186,2,0),"")</f>
        <v>자원순환</v>
      </c>
      <c r="D203" s="816"/>
      <c r="E203" s="817"/>
      <c r="F203" s="950" t="str">
        <f>IFERROR(VLOOKUP($B203,기업명!$H$167:$AH$264,6,0),"")</f>
        <v>별도의 재이용시설 없음</v>
      </c>
      <c r="G203" s="950"/>
      <c r="H203" s="950"/>
      <c r="I203" s="950"/>
      <c r="J203" s="950"/>
      <c r="K203" s="950" t="str">
        <f>IFERROR(VLOOKUP($B203,기업명!$H$167:$AH$264,11,0),"")</f>
        <v>빗물 재이용시설을 설치하여 용수 및 지붕온도 저감 목적으로 사용</v>
      </c>
      <c r="L203" s="950"/>
      <c r="M203" s="950"/>
      <c r="N203" s="950"/>
      <c r="O203" s="950"/>
      <c r="P203" s="969" t="str">
        <f>IFERROR(VLOOKUP($B203,기업명!$H$167:$AH$264,16,0) &amp; VLOOKUP($B203,기업명!$H$167:$AH$264,25,0),"")</f>
        <v>0ton/년</v>
      </c>
      <c r="Q203" s="969"/>
      <c r="R203" s="969"/>
      <c r="S203" s="969"/>
      <c r="T203" s="969"/>
      <c r="U203" s="969" t="str">
        <f>IFERROR(VLOOKUP($B203,기업명!$H$167:$AH$254,19,0) &amp; VLOOKUP($B203,기업명!$H$167:$AH$254,25,0),"")</f>
        <v>257.4ton/년</v>
      </c>
      <c r="V203" s="969"/>
      <c r="W203" s="969"/>
      <c r="X203" s="969"/>
      <c r="Y203" s="969"/>
    </row>
    <row r="204" spans="1:25" ht="17.25" customHeight="1">
      <c r="A204" s="12">
        <v>32</v>
      </c>
      <c r="B204" s="81">
        <v>32</v>
      </c>
      <c r="C204" s="815" t="str">
        <f>IFERROR("(" &amp; VLOOKUP($B204,기업명!$CT$167:$CV$186,3,0) &amp; ")","")</f>
        <v>(빗물 재이용시설)</v>
      </c>
      <c r="D204" s="816"/>
      <c r="E204" s="817"/>
      <c r="F204" s="950"/>
      <c r="G204" s="950"/>
      <c r="H204" s="950"/>
      <c r="I204" s="950"/>
      <c r="J204" s="950"/>
      <c r="K204" s="950"/>
      <c r="L204" s="950"/>
      <c r="M204" s="950"/>
      <c r="N204" s="950"/>
      <c r="O204" s="950"/>
      <c r="P204" s="969"/>
      <c r="Q204" s="969"/>
      <c r="R204" s="969"/>
      <c r="S204" s="969"/>
      <c r="T204" s="969"/>
      <c r="U204" s="969"/>
      <c r="V204" s="969"/>
      <c r="W204" s="969"/>
      <c r="X204" s="969"/>
      <c r="Y204" s="969"/>
    </row>
    <row r="205" spans="1:25" ht="17.25" customHeight="1">
      <c r="A205" s="12">
        <v>0</v>
      </c>
      <c r="B205" s="81">
        <v>64</v>
      </c>
      <c r="C205" s="815" t="str">
        <f>IFERROR(VLOOKUP($B205,기업명!$CT$167:$CV$186,2,0),"")</f>
        <v/>
      </c>
      <c r="D205" s="816"/>
      <c r="E205" s="817"/>
      <c r="F205" s="950" t="str">
        <f>IFERROR(VLOOKUP($B205,기업명!$H$167:$AH$264,6,0),"")</f>
        <v/>
      </c>
      <c r="G205" s="950"/>
      <c r="H205" s="950"/>
      <c r="I205" s="950"/>
      <c r="J205" s="950"/>
      <c r="K205" s="950" t="str">
        <f>IFERROR(VLOOKUP($B205,기업명!$H$167:$AH$264,11,0),"")</f>
        <v/>
      </c>
      <c r="L205" s="950"/>
      <c r="M205" s="950"/>
      <c r="N205" s="950"/>
      <c r="O205" s="950"/>
      <c r="P205" s="969" t="str">
        <f>IFERROR(VLOOKUP($B205,기업명!$H$167:$AH$264,16,0) &amp; VLOOKUP($B205,기업명!$H$167:$AH$264,25,0),"")</f>
        <v/>
      </c>
      <c r="Q205" s="969"/>
      <c r="R205" s="969"/>
      <c r="S205" s="969"/>
      <c r="T205" s="969"/>
      <c r="U205" s="969" t="str">
        <f>IFERROR(VLOOKUP($B205,기업명!$H$167:$AH$254,19,0) &amp; VLOOKUP($B205,기업명!$H$167:$AH$254,25,0),"")</f>
        <v/>
      </c>
      <c r="V205" s="969"/>
      <c r="W205" s="969"/>
      <c r="X205" s="969"/>
      <c r="Y205" s="969"/>
    </row>
    <row r="206" spans="1:25" ht="17.25" customHeight="1">
      <c r="A206" s="12">
        <v>64</v>
      </c>
      <c r="B206" s="81">
        <v>64</v>
      </c>
      <c r="C206" s="815" t="str">
        <f>IFERROR("(" &amp; VLOOKUP($B206,기업명!$CT$167:$CV$186,3,0) &amp; ")","")</f>
        <v/>
      </c>
      <c r="D206" s="816"/>
      <c r="E206" s="817"/>
      <c r="F206" s="950"/>
      <c r="G206" s="950"/>
      <c r="H206" s="950"/>
      <c r="I206" s="950"/>
      <c r="J206" s="950"/>
      <c r="K206" s="950"/>
      <c r="L206" s="950"/>
      <c r="M206" s="950"/>
      <c r="N206" s="950"/>
      <c r="O206" s="950"/>
      <c r="P206" s="969"/>
      <c r="Q206" s="969"/>
      <c r="R206" s="969"/>
      <c r="S206" s="969"/>
      <c r="T206" s="969"/>
      <c r="U206" s="969"/>
      <c r="V206" s="969"/>
      <c r="W206" s="969"/>
      <c r="X206" s="969"/>
      <c r="Y206" s="969"/>
    </row>
    <row r="207" spans="1:25" ht="17.25" customHeight="1">
      <c r="A207" s="12">
        <v>0</v>
      </c>
      <c r="B207" s="81">
        <v>128</v>
      </c>
      <c r="C207" s="815" t="str">
        <f>IFERROR(VLOOKUP($B207,기업명!$CT$167:$CV$186,2,0),"")</f>
        <v/>
      </c>
      <c r="D207" s="816"/>
      <c r="E207" s="817"/>
      <c r="F207" s="950" t="str">
        <f>IFERROR(VLOOKUP($B207,기업명!$H$167:$AH$264,6,0),"")</f>
        <v/>
      </c>
      <c r="G207" s="950"/>
      <c r="H207" s="950"/>
      <c r="I207" s="950"/>
      <c r="J207" s="950"/>
      <c r="K207" s="950" t="str">
        <f>IFERROR(VLOOKUP($B207,기업명!$H$167:$AH$264,11,0),"")</f>
        <v/>
      </c>
      <c r="L207" s="950"/>
      <c r="M207" s="950"/>
      <c r="N207" s="950"/>
      <c r="O207" s="950"/>
      <c r="P207" s="969" t="str">
        <f>IFERROR(VLOOKUP($B207,기업명!$H$167:$AH$264,16,0) &amp; VLOOKUP($B207,기업명!$H$167:$AH$264,25,0),"")</f>
        <v/>
      </c>
      <c r="Q207" s="969"/>
      <c r="R207" s="969"/>
      <c r="S207" s="969"/>
      <c r="T207" s="969"/>
      <c r="U207" s="969" t="str">
        <f>IFERROR(VLOOKUP($B207,기업명!$H$167:$AH$254,19,0) &amp; VLOOKUP($B207,기업명!$H$167:$AH$254,25,0),"")</f>
        <v/>
      </c>
      <c r="V207" s="969"/>
      <c r="W207" s="969"/>
      <c r="X207" s="969"/>
      <c r="Y207" s="969"/>
    </row>
    <row r="208" spans="1:25" ht="17.25" customHeight="1">
      <c r="A208" s="12">
        <v>128</v>
      </c>
      <c r="B208" s="81">
        <v>128</v>
      </c>
      <c r="C208" s="815" t="str">
        <f>IFERROR("(" &amp; VLOOKUP($B208,기업명!$CT$167:$CV$186,3,0) &amp; ")","")</f>
        <v/>
      </c>
      <c r="D208" s="816"/>
      <c r="E208" s="817"/>
      <c r="F208" s="950"/>
      <c r="G208" s="950"/>
      <c r="H208" s="950"/>
      <c r="I208" s="950"/>
      <c r="J208" s="950"/>
      <c r="K208" s="950"/>
      <c r="L208" s="950"/>
      <c r="M208" s="950"/>
      <c r="N208" s="950"/>
      <c r="O208" s="950"/>
      <c r="P208" s="969"/>
      <c r="Q208" s="969"/>
      <c r="R208" s="969"/>
      <c r="S208" s="969"/>
      <c r="T208" s="969"/>
      <c r="U208" s="969"/>
      <c r="V208" s="969"/>
      <c r="W208" s="969"/>
      <c r="X208" s="969"/>
      <c r="Y208" s="969"/>
    </row>
    <row r="209" spans="1:25" ht="17.25" customHeight="1">
      <c r="A209" s="12">
        <v>0</v>
      </c>
      <c r="B209" s="81">
        <v>256</v>
      </c>
      <c r="C209" s="815" t="str">
        <f>IFERROR(VLOOKUP($B209,기업명!$CT$167:$CV$186,2,0),"")</f>
        <v/>
      </c>
      <c r="D209" s="816"/>
      <c r="E209" s="817"/>
      <c r="F209" s="950" t="str">
        <f>IFERROR(VLOOKUP($B209,기업명!$H$167:$AH$264,6,0),"")</f>
        <v/>
      </c>
      <c r="G209" s="950"/>
      <c r="H209" s="950"/>
      <c r="I209" s="950"/>
      <c r="J209" s="950"/>
      <c r="K209" s="950" t="str">
        <f>IFERROR(VLOOKUP($B209,기업명!$H$167:$AH$264,11,0),"")</f>
        <v/>
      </c>
      <c r="L209" s="950"/>
      <c r="M209" s="950"/>
      <c r="N209" s="950"/>
      <c r="O209" s="950"/>
      <c r="P209" s="969" t="str">
        <f>IFERROR(VLOOKUP($B209,기업명!$H$167:$AH$264,16,0) &amp; VLOOKUP($B209,기업명!$H$167:$AH$264,25,0),"")</f>
        <v/>
      </c>
      <c r="Q209" s="969"/>
      <c r="R209" s="969"/>
      <c r="S209" s="969"/>
      <c r="T209" s="969"/>
      <c r="U209" s="969" t="str">
        <f>IFERROR(VLOOKUP($B209,기업명!$H$167:$AH$254,19,0) &amp; VLOOKUP($B209,기업명!$H$167:$AH$254,25,0),"")</f>
        <v/>
      </c>
      <c r="V209" s="969"/>
      <c r="W209" s="969"/>
      <c r="X209" s="969"/>
      <c r="Y209" s="969"/>
    </row>
    <row r="210" spans="1:25" ht="17.25" customHeight="1">
      <c r="A210" s="12">
        <v>256</v>
      </c>
      <c r="B210" s="81">
        <v>256</v>
      </c>
      <c r="C210" s="815" t="str">
        <f>IFERROR("(" &amp; VLOOKUP($B210,기업명!$CT$167:$CV$186,3,0) &amp; ")","")</f>
        <v/>
      </c>
      <c r="D210" s="816"/>
      <c r="E210" s="817"/>
      <c r="F210" s="950"/>
      <c r="G210" s="950"/>
      <c r="H210" s="950"/>
      <c r="I210" s="950"/>
      <c r="J210" s="950"/>
      <c r="K210" s="950"/>
      <c r="L210" s="950"/>
      <c r="M210" s="950"/>
      <c r="N210" s="950"/>
      <c r="O210" s="950"/>
      <c r="P210" s="969"/>
      <c r="Q210" s="969"/>
      <c r="R210" s="969"/>
      <c r="S210" s="969"/>
      <c r="T210" s="969"/>
      <c r="U210" s="969"/>
      <c r="V210" s="969"/>
      <c r="W210" s="969"/>
      <c r="X210" s="969"/>
      <c r="Y210" s="969"/>
    </row>
    <row r="211" spans="1:25" ht="17.25" customHeight="1">
      <c r="A211" s="12">
        <v>0</v>
      </c>
      <c r="B211" s="81">
        <v>512</v>
      </c>
      <c r="C211" s="815" t="str">
        <f>IFERROR(VLOOKUP($B211,기업명!$CT$167:$CV$186,2,0),"")</f>
        <v/>
      </c>
      <c r="D211" s="816"/>
      <c r="E211" s="817"/>
      <c r="F211" s="950" t="str">
        <f>IFERROR(VLOOKUP($B211,기업명!$H$167:$AH$264,6,0),"")</f>
        <v/>
      </c>
      <c r="G211" s="950"/>
      <c r="H211" s="950"/>
      <c r="I211" s="950"/>
      <c r="J211" s="950"/>
      <c r="K211" s="950" t="str">
        <f>IFERROR(VLOOKUP($B211,기업명!$H$167:$AH$264,11,0),"")</f>
        <v/>
      </c>
      <c r="L211" s="950"/>
      <c r="M211" s="950"/>
      <c r="N211" s="950"/>
      <c r="O211" s="950"/>
      <c r="P211" s="969" t="str">
        <f>IFERROR(VLOOKUP($B211,기업명!$H$167:$AH$264,16,0) &amp; VLOOKUP($B211,기업명!$H$167:$AH$264,25,0),"")</f>
        <v/>
      </c>
      <c r="Q211" s="969"/>
      <c r="R211" s="969"/>
      <c r="S211" s="969"/>
      <c r="T211" s="969"/>
      <c r="U211" s="969" t="str">
        <f>IFERROR(VLOOKUP($B211,기업명!$H$167:$AH$254,19,0) &amp; VLOOKUP($B211,기업명!$H$167:$AH$254,25,0),"")</f>
        <v/>
      </c>
      <c r="V211" s="969"/>
      <c r="W211" s="969"/>
      <c r="X211" s="969"/>
      <c r="Y211" s="969"/>
    </row>
    <row r="212" spans="1:25" ht="17.25" customHeight="1">
      <c r="A212" s="12">
        <v>512</v>
      </c>
      <c r="B212" s="81">
        <v>512</v>
      </c>
      <c r="C212" s="815" t="str">
        <f>IFERROR("(" &amp; VLOOKUP($B212,기업명!$CT$167:$CV$186,3,0) &amp; ")","")</f>
        <v/>
      </c>
      <c r="D212" s="816"/>
      <c r="E212" s="817"/>
      <c r="F212" s="950"/>
      <c r="G212" s="950"/>
      <c r="H212" s="950"/>
      <c r="I212" s="950"/>
      <c r="J212" s="950"/>
      <c r="K212" s="950"/>
      <c r="L212" s="950"/>
      <c r="M212" s="950"/>
      <c r="N212" s="950"/>
      <c r="O212" s="950"/>
      <c r="P212" s="969"/>
      <c r="Q212" s="969"/>
      <c r="R212" s="969"/>
      <c r="S212" s="969"/>
      <c r="T212" s="969"/>
      <c r="U212" s="969"/>
      <c r="V212" s="969"/>
      <c r="W212" s="969"/>
      <c r="X212" s="969"/>
      <c r="Y212" s="969"/>
    </row>
    <row r="213" spans="1:25" ht="17.25" customHeight="1">
      <c r="A213" s="12">
        <v>0</v>
      </c>
      <c r="B213" s="81">
        <v>1024</v>
      </c>
      <c r="C213" s="815" t="str">
        <f>IFERROR(VLOOKUP($B213,기업명!$CT$167:$CV$186,2,0),"")</f>
        <v/>
      </c>
      <c r="D213" s="816"/>
      <c r="E213" s="817"/>
      <c r="F213" s="950" t="str">
        <f>IFERROR(VLOOKUP($B213,기업명!$H$167:$AH$264,6,0),"")</f>
        <v/>
      </c>
      <c r="G213" s="950"/>
      <c r="H213" s="950"/>
      <c r="I213" s="950"/>
      <c r="J213" s="950"/>
      <c r="K213" s="950" t="str">
        <f>IFERROR(VLOOKUP($B213,기업명!$H$167:$AH$264,11,0),"")</f>
        <v/>
      </c>
      <c r="L213" s="950"/>
      <c r="M213" s="950"/>
      <c r="N213" s="950"/>
      <c r="O213" s="950"/>
      <c r="P213" s="969" t="str">
        <f>IFERROR(VLOOKUP($B213,기업명!$H$167:$AH$264,16,0) &amp; VLOOKUP($B213,기업명!$H$167:$AH$264,25,0),"")</f>
        <v/>
      </c>
      <c r="Q213" s="969"/>
      <c r="R213" s="969"/>
      <c r="S213" s="969"/>
      <c r="T213" s="969"/>
      <c r="U213" s="969" t="str">
        <f>IFERROR(VLOOKUP($B213,기업명!$H$167:$AH$254,19,0) &amp; VLOOKUP($B213,기업명!$H$167:$AH$254,25,0),"")</f>
        <v/>
      </c>
      <c r="V213" s="969"/>
      <c r="W213" s="969"/>
      <c r="X213" s="969"/>
      <c r="Y213" s="969"/>
    </row>
    <row r="214" spans="1:25" ht="17.25" customHeight="1">
      <c r="A214" s="82">
        <v>1024</v>
      </c>
      <c r="B214" s="81">
        <v>1024</v>
      </c>
      <c r="C214" s="815" t="str">
        <f>IFERROR("(" &amp; VLOOKUP($B214,기업명!$CT$167:$CV$186,3,0) &amp; ")","")</f>
        <v/>
      </c>
      <c r="D214" s="816"/>
      <c r="E214" s="817"/>
      <c r="F214" s="950"/>
      <c r="G214" s="950"/>
      <c r="H214" s="950"/>
      <c r="I214" s="950"/>
      <c r="J214" s="950"/>
      <c r="K214" s="950"/>
      <c r="L214" s="950"/>
      <c r="M214" s="950"/>
      <c r="N214" s="950"/>
      <c r="O214" s="950"/>
      <c r="P214" s="969"/>
      <c r="Q214" s="969"/>
      <c r="R214" s="969"/>
      <c r="S214" s="969"/>
      <c r="T214" s="969"/>
      <c r="U214" s="969"/>
      <c r="V214" s="969"/>
      <c r="W214" s="969"/>
      <c r="X214" s="969"/>
      <c r="Y214" s="969"/>
    </row>
    <row r="215" spans="1:25" ht="17.25" customHeight="1">
      <c r="A215" s="12">
        <v>0</v>
      </c>
      <c r="B215" s="12">
        <v>2048</v>
      </c>
      <c r="C215" s="815" t="str">
        <f>IFERROR(VLOOKUP($B215,기업명!$CT$167:$CV$186,2,0),"")</f>
        <v/>
      </c>
      <c r="D215" s="816"/>
      <c r="E215" s="817"/>
      <c r="F215" s="950" t="str">
        <f>IFERROR(VLOOKUP($B215,기업명!$H$167:$AH$264,6,0),"")</f>
        <v/>
      </c>
      <c r="G215" s="950"/>
      <c r="H215" s="950"/>
      <c r="I215" s="950"/>
      <c r="J215" s="950"/>
      <c r="K215" s="950" t="str">
        <f>IFERROR(VLOOKUP($B215,기업명!$H$167:$AH$264,11,0),"")</f>
        <v/>
      </c>
      <c r="L215" s="950"/>
      <c r="M215" s="950"/>
      <c r="N215" s="950"/>
      <c r="O215" s="950"/>
      <c r="P215" s="969" t="str">
        <f>IFERROR(VLOOKUP($B215,기업명!$H$167:$AH$264,16,0) &amp; VLOOKUP($B215,기업명!$H$167:$AH$264,25,0),"")</f>
        <v/>
      </c>
      <c r="Q215" s="969"/>
      <c r="R215" s="969"/>
      <c r="S215" s="969"/>
      <c r="T215" s="969"/>
      <c r="U215" s="969" t="str">
        <f>IFERROR(VLOOKUP($B215,기업명!$H$167:$AH$254,19,0) &amp; VLOOKUP($B215,기업명!$H$167:$AH$254,25,0),"")</f>
        <v/>
      </c>
      <c r="V215" s="969"/>
      <c r="W215" s="969"/>
      <c r="X215" s="969"/>
      <c r="Y215" s="969"/>
    </row>
    <row r="216" spans="1:25" ht="17.25" customHeight="1">
      <c r="A216" s="12">
        <v>2048</v>
      </c>
      <c r="B216" s="12">
        <v>2048</v>
      </c>
      <c r="C216" s="815" t="str">
        <f>IFERROR("(" &amp; VLOOKUP($B216,기업명!$CT$167:$CV$186,3,0) &amp; ")","")</f>
        <v/>
      </c>
      <c r="D216" s="816"/>
      <c r="E216" s="817"/>
      <c r="F216" s="950"/>
      <c r="G216" s="950"/>
      <c r="H216" s="950"/>
      <c r="I216" s="950"/>
      <c r="J216" s="950"/>
      <c r="K216" s="950"/>
      <c r="L216" s="950"/>
      <c r="M216" s="950"/>
      <c r="N216" s="950"/>
      <c r="O216" s="950"/>
      <c r="P216" s="969"/>
      <c r="Q216" s="969"/>
      <c r="R216" s="969"/>
      <c r="S216" s="969"/>
      <c r="T216" s="969"/>
      <c r="U216" s="969"/>
      <c r="V216" s="969"/>
      <c r="W216" s="969"/>
      <c r="X216" s="969"/>
      <c r="Y216" s="969"/>
    </row>
    <row r="217" spans="1:25" ht="17.25" customHeight="1">
      <c r="A217" s="12">
        <v>0</v>
      </c>
      <c r="B217" s="12">
        <v>4096</v>
      </c>
      <c r="C217" s="815" t="str">
        <f>IFERROR(VLOOKUP($B217,기업명!$CT$167:$CV$186,2,0),"")</f>
        <v/>
      </c>
      <c r="D217" s="816"/>
      <c r="E217" s="817"/>
      <c r="F217" s="950" t="str">
        <f>IFERROR(VLOOKUP($B217,기업명!$H$167:$AH$264,6,0),"")</f>
        <v/>
      </c>
      <c r="G217" s="950"/>
      <c r="H217" s="950"/>
      <c r="I217" s="950"/>
      <c r="J217" s="950"/>
      <c r="K217" s="950" t="str">
        <f>IFERROR(VLOOKUP($B217,기업명!$H$167:$AH$264,11,0),"")</f>
        <v/>
      </c>
      <c r="L217" s="950"/>
      <c r="M217" s="950"/>
      <c r="N217" s="950"/>
      <c r="O217" s="950"/>
      <c r="P217" s="969" t="str">
        <f>IFERROR(VLOOKUP($B217,기업명!$H$167:$AH$264,16,0) &amp; VLOOKUP($B217,기업명!$H$167:$AH$264,25,0),"")</f>
        <v/>
      </c>
      <c r="Q217" s="969"/>
      <c r="R217" s="969"/>
      <c r="S217" s="969"/>
      <c r="T217" s="969"/>
      <c r="U217" s="969" t="str">
        <f>IFERROR(VLOOKUP($B217,기업명!$H$167:$AH$264,19,0) &amp; VLOOKUP($B217,기업명!$H$167:$AH$264,25,0),"")</f>
        <v/>
      </c>
      <c r="V217" s="969"/>
      <c r="W217" s="969"/>
      <c r="X217" s="969"/>
      <c r="Y217" s="969"/>
    </row>
    <row r="218" spans="1:25" ht="17.25" customHeight="1">
      <c r="A218" s="12">
        <v>4096</v>
      </c>
      <c r="B218" s="12">
        <v>4096</v>
      </c>
      <c r="C218" s="815" t="str">
        <f>IFERROR("(" &amp; VLOOKUP($B218,기업명!$CT$167:$CV$186,3,0) &amp; ")","")</f>
        <v/>
      </c>
      <c r="D218" s="816"/>
      <c r="E218" s="817"/>
      <c r="F218" s="950"/>
      <c r="G218" s="950"/>
      <c r="H218" s="950"/>
      <c r="I218" s="950"/>
      <c r="J218" s="950"/>
      <c r="K218" s="950"/>
      <c r="L218" s="950"/>
      <c r="M218" s="950"/>
      <c r="N218" s="950"/>
      <c r="O218" s="950"/>
      <c r="P218" s="969"/>
      <c r="Q218" s="969"/>
      <c r="R218" s="969"/>
      <c r="S218" s="969"/>
      <c r="T218" s="969"/>
      <c r="U218" s="969"/>
      <c r="V218" s="969"/>
      <c r="W218" s="969"/>
      <c r="X218" s="969"/>
      <c r="Y218" s="969"/>
    </row>
    <row r="219" spans="1:25" ht="17.25" customHeight="1">
      <c r="A219" s="12">
        <v>0</v>
      </c>
      <c r="B219" s="12">
        <v>8192</v>
      </c>
      <c r="C219" s="815" t="str">
        <f>IFERROR(VLOOKUP($B219,기업명!$CT$167:$CV$186,2,0),"")</f>
        <v/>
      </c>
      <c r="D219" s="816"/>
      <c r="E219" s="817"/>
      <c r="F219" s="950" t="str">
        <f>IFERROR(VLOOKUP($B219,기업명!$H$167:$AH$264,6,0),"")</f>
        <v/>
      </c>
      <c r="G219" s="950"/>
      <c r="H219" s="950"/>
      <c r="I219" s="950"/>
      <c r="J219" s="950"/>
      <c r="K219" s="950" t="str">
        <f>IFERROR(VLOOKUP($B219,기업명!$H$167:$AH$264,11,0),"")</f>
        <v/>
      </c>
      <c r="L219" s="950"/>
      <c r="M219" s="950"/>
      <c r="N219" s="950"/>
      <c r="O219" s="950"/>
      <c r="P219" s="969" t="str">
        <f>IFERROR(VLOOKUP($B219,기업명!$H$167:$AH$264,16,0) &amp; VLOOKUP($B219,기업명!$H$167:$AH$264,25,0),"")</f>
        <v/>
      </c>
      <c r="Q219" s="969"/>
      <c r="R219" s="969"/>
      <c r="S219" s="969"/>
      <c r="T219" s="969"/>
      <c r="U219" s="969" t="str">
        <f>IFERROR(VLOOKUP($B219,기업명!$H$167:$AH$254,19,0) &amp; VLOOKUP($B219,기업명!$H$167:$AH$254,25,0),"")</f>
        <v/>
      </c>
      <c r="V219" s="969"/>
      <c r="W219" s="969"/>
      <c r="X219" s="969"/>
      <c r="Y219" s="969"/>
    </row>
    <row r="220" spans="1:25" ht="17.25" customHeight="1">
      <c r="A220" s="12">
        <v>8192</v>
      </c>
      <c r="B220" s="12">
        <v>8192</v>
      </c>
      <c r="C220" s="815" t="str">
        <f>IFERROR("(" &amp; VLOOKUP($B220,기업명!$CT$167:$CV$186,3,0) &amp; ")","")</f>
        <v/>
      </c>
      <c r="D220" s="816"/>
      <c r="E220" s="817"/>
      <c r="F220" s="950"/>
      <c r="G220" s="950"/>
      <c r="H220" s="950"/>
      <c r="I220" s="950"/>
      <c r="J220" s="950"/>
      <c r="K220" s="950"/>
      <c r="L220" s="950"/>
      <c r="M220" s="950"/>
      <c r="N220" s="950"/>
      <c r="O220" s="950"/>
      <c r="P220" s="969"/>
      <c r="Q220" s="969"/>
      <c r="R220" s="969"/>
      <c r="S220" s="969"/>
      <c r="T220" s="969"/>
      <c r="U220" s="969"/>
      <c r="V220" s="969"/>
      <c r="W220" s="969"/>
      <c r="X220" s="969"/>
      <c r="Y220" s="969"/>
    </row>
    <row r="221" spans="1:25" ht="17.25" customHeight="1">
      <c r="A221" s="12">
        <v>0</v>
      </c>
      <c r="B221" s="12">
        <v>16384</v>
      </c>
      <c r="C221" s="815" t="str">
        <f>IFERROR(VLOOKUP($B221,기업명!$CT$167:$CV$186,2,0),"")</f>
        <v/>
      </c>
      <c r="D221" s="816"/>
      <c r="E221" s="817"/>
      <c r="F221" s="950" t="str">
        <f>IFERROR(VLOOKUP($B221,기업명!$H$167:$AH$264,6,0),"")</f>
        <v/>
      </c>
      <c r="G221" s="950"/>
      <c r="H221" s="950"/>
      <c r="I221" s="950"/>
      <c r="J221" s="950"/>
      <c r="K221" s="950" t="str">
        <f>IFERROR(VLOOKUP($B221,기업명!$H$167:$AH$264,11,0),"")</f>
        <v/>
      </c>
      <c r="L221" s="950"/>
      <c r="M221" s="950"/>
      <c r="N221" s="950"/>
      <c r="O221" s="950"/>
      <c r="P221" s="969" t="str">
        <f>IFERROR(VLOOKUP($B221,기업명!$H$167:$AH$264,16,0) &amp; VLOOKUP($B221,기업명!$H$167:$AH$264,25,0),"")</f>
        <v/>
      </c>
      <c r="Q221" s="969"/>
      <c r="R221" s="969"/>
      <c r="S221" s="969"/>
      <c r="T221" s="969"/>
      <c r="U221" s="969" t="str">
        <f>IFERROR(VLOOKUP($B221,기업명!$H$167:$AH$254,19,0) &amp; VLOOKUP($B221,기업명!$H$167:$AH$254,25,0),"")</f>
        <v/>
      </c>
      <c r="V221" s="969"/>
      <c r="W221" s="969"/>
      <c r="X221" s="969"/>
      <c r="Y221" s="969"/>
    </row>
    <row r="222" spans="1:25" ht="17.25" customHeight="1">
      <c r="A222" s="12">
        <v>16384</v>
      </c>
      <c r="B222" s="12">
        <v>16384</v>
      </c>
      <c r="C222" s="815" t="str">
        <f>IFERROR("(" &amp; VLOOKUP($B222,기업명!$CT$167:$CV$186,3,0) &amp; ")","")</f>
        <v/>
      </c>
      <c r="D222" s="816"/>
      <c r="E222" s="817"/>
      <c r="F222" s="950"/>
      <c r="G222" s="950"/>
      <c r="H222" s="950"/>
      <c r="I222" s="950"/>
      <c r="J222" s="950"/>
      <c r="K222" s="950"/>
      <c r="L222" s="950"/>
      <c r="M222" s="950"/>
      <c r="N222" s="950"/>
      <c r="O222" s="950"/>
      <c r="P222" s="969"/>
      <c r="Q222" s="969"/>
      <c r="R222" s="969"/>
      <c r="S222" s="969"/>
      <c r="T222" s="969"/>
      <c r="U222" s="969"/>
      <c r="V222" s="969"/>
      <c r="W222" s="969"/>
      <c r="X222" s="969"/>
      <c r="Y222" s="969"/>
    </row>
    <row r="223" spans="1:25" ht="17.25" customHeight="1">
      <c r="A223" s="12">
        <v>0</v>
      </c>
      <c r="B223" s="12">
        <v>32768</v>
      </c>
      <c r="C223" s="815" t="str">
        <f>IFERROR(VLOOKUP($B223,기업명!$CT$167:$CV$186,2,0),"")</f>
        <v/>
      </c>
      <c r="D223" s="816"/>
      <c r="E223" s="817"/>
      <c r="F223" s="950" t="str">
        <f>IFERROR(VLOOKUP($B223,기업명!$H$167:$AH$264,6,0),"")</f>
        <v/>
      </c>
      <c r="G223" s="950"/>
      <c r="H223" s="950"/>
      <c r="I223" s="950"/>
      <c r="J223" s="950"/>
      <c r="K223" s="950" t="str">
        <f>IFERROR(VLOOKUP($B223,기업명!$H$167:$AH$264,11,0),"")</f>
        <v/>
      </c>
      <c r="L223" s="950"/>
      <c r="M223" s="950"/>
      <c r="N223" s="950"/>
      <c r="O223" s="950"/>
      <c r="P223" s="969" t="str">
        <f>IFERROR(VLOOKUP($B223,기업명!$H$167:$AH$264,16,0) &amp; VLOOKUP($B223,기업명!$H$167:$AH$264,25,0),"")</f>
        <v/>
      </c>
      <c r="Q223" s="969"/>
      <c r="R223" s="969"/>
      <c r="S223" s="969"/>
      <c r="T223" s="969"/>
      <c r="U223" s="969" t="str">
        <f>IFERROR(VLOOKUP($B223,기업명!$H$167:$AH$254,19,0) &amp; VLOOKUP($B223,기업명!$H$167:$AH$254,25,0),"")</f>
        <v/>
      </c>
      <c r="V223" s="969"/>
      <c r="W223" s="969"/>
      <c r="X223" s="969"/>
      <c r="Y223" s="969"/>
    </row>
    <row r="224" spans="1:25" ht="17.25" customHeight="1">
      <c r="A224" s="12">
        <v>32768</v>
      </c>
      <c r="B224" s="12">
        <v>32768</v>
      </c>
      <c r="C224" s="815" t="str">
        <f>IFERROR("(" &amp; VLOOKUP($B224,기업명!$CT$167:$CV$186,3,0) &amp; ")","")</f>
        <v/>
      </c>
      <c r="D224" s="816"/>
      <c r="E224" s="817"/>
      <c r="F224" s="950"/>
      <c r="G224" s="950"/>
      <c r="H224" s="950"/>
      <c r="I224" s="950"/>
      <c r="J224" s="950"/>
      <c r="K224" s="950"/>
      <c r="L224" s="950"/>
      <c r="M224" s="950"/>
      <c r="N224" s="950"/>
      <c r="O224" s="950"/>
      <c r="P224" s="969"/>
      <c r="Q224" s="969"/>
      <c r="R224" s="969"/>
      <c r="S224" s="969"/>
      <c r="T224" s="969"/>
      <c r="U224" s="969"/>
      <c r="V224" s="969"/>
      <c r="W224" s="969"/>
      <c r="X224" s="969"/>
      <c r="Y224" s="969"/>
    </row>
    <row r="225" spans="1:25" ht="17.25" customHeight="1">
      <c r="A225" s="12">
        <v>0</v>
      </c>
      <c r="B225" s="12">
        <v>65536</v>
      </c>
      <c r="C225" s="815" t="str">
        <f>IFERROR(VLOOKUP($B225,기업명!$CT$167:$CV$186,2,0),"")</f>
        <v/>
      </c>
      <c r="D225" s="816"/>
      <c r="E225" s="817"/>
      <c r="F225" s="950" t="str">
        <f>IFERROR(VLOOKUP($B225,기업명!$H$167:$AH$264,6,0),"")</f>
        <v/>
      </c>
      <c r="G225" s="950"/>
      <c r="H225" s="950"/>
      <c r="I225" s="950"/>
      <c r="J225" s="950"/>
      <c r="K225" s="950" t="str">
        <f>IFERROR(VLOOKUP($B225,기업명!$H$167:$AH$264,11,0),"")</f>
        <v/>
      </c>
      <c r="L225" s="950"/>
      <c r="M225" s="950"/>
      <c r="N225" s="950"/>
      <c r="O225" s="950"/>
      <c r="P225" s="969" t="str">
        <f>IFERROR(VLOOKUP($B225,기업명!$H$167:$AH$264,16,0) &amp; VLOOKUP($B225,기업명!$H$167:$AH$264,25,0),"")</f>
        <v/>
      </c>
      <c r="Q225" s="969"/>
      <c r="R225" s="969"/>
      <c r="S225" s="969"/>
      <c r="T225" s="969"/>
      <c r="U225" s="969" t="str">
        <f>IFERROR(VLOOKUP($B225,기업명!$H$167:$AH$254,19,0) &amp; VLOOKUP($B225,기업명!$H$167:$AH$254,25,0),"")</f>
        <v/>
      </c>
      <c r="V225" s="969"/>
      <c r="W225" s="969"/>
      <c r="X225" s="969"/>
      <c r="Y225" s="969"/>
    </row>
    <row r="226" spans="1:25" ht="17.25" customHeight="1">
      <c r="A226" s="12">
        <v>65536</v>
      </c>
      <c r="B226" s="12">
        <v>65536</v>
      </c>
      <c r="C226" s="815" t="str">
        <f>IFERROR("(" &amp; VLOOKUP($B226,기업명!$CT$167:$CV$186,3,0) &amp; ")","")</f>
        <v/>
      </c>
      <c r="D226" s="816"/>
      <c r="E226" s="817"/>
      <c r="F226" s="950"/>
      <c r="G226" s="950"/>
      <c r="H226" s="950"/>
      <c r="I226" s="950"/>
      <c r="J226" s="950"/>
      <c r="K226" s="950"/>
      <c r="L226" s="950"/>
      <c r="M226" s="950"/>
      <c r="N226" s="950"/>
      <c r="O226" s="950"/>
      <c r="P226" s="969"/>
      <c r="Q226" s="969"/>
      <c r="R226" s="969"/>
      <c r="S226" s="969"/>
      <c r="T226" s="969"/>
      <c r="U226" s="969"/>
      <c r="V226" s="969"/>
      <c r="W226" s="969"/>
      <c r="X226" s="969"/>
      <c r="Y226" s="969"/>
    </row>
    <row r="227" spans="1:25" ht="17.25" customHeight="1">
      <c r="A227" s="12">
        <v>0</v>
      </c>
      <c r="B227" s="12">
        <v>131072</v>
      </c>
      <c r="C227" s="815" t="str">
        <f>IFERROR(VLOOKUP($B227,기업명!$CT$167:$CV$186,2,0),"")</f>
        <v/>
      </c>
      <c r="D227" s="816"/>
      <c r="E227" s="817"/>
      <c r="F227" s="950" t="str">
        <f>IFERROR(VLOOKUP($B227,기업명!$H$167:$AH$264,6,0),"")</f>
        <v/>
      </c>
      <c r="G227" s="950"/>
      <c r="H227" s="950"/>
      <c r="I227" s="950"/>
      <c r="J227" s="950"/>
      <c r="K227" s="950" t="str">
        <f>IFERROR(VLOOKUP($B227,기업명!$H$167:$AH$264,11,0),"")</f>
        <v/>
      </c>
      <c r="L227" s="950"/>
      <c r="M227" s="950"/>
      <c r="N227" s="950"/>
      <c r="O227" s="950"/>
      <c r="P227" s="969" t="str">
        <f>IFERROR(VLOOKUP($B227,기업명!$H$167:$AH$264,16,0) &amp; VLOOKUP($B227,기업명!$H$167:$AH$264,25,0),"")</f>
        <v/>
      </c>
      <c r="Q227" s="969"/>
      <c r="R227" s="969"/>
      <c r="S227" s="969"/>
      <c r="T227" s="969"/>
      <c r="U227" s="969" t="str">
        <f>IFERROR(VLOOKUP($B227,기업명!$H$167:$AH$254,19,0) &amp; VLOOKUP($B227,기업명!$H$167:$AH$254,25,0),"")</f>
        <v/>
      </c>
      <c r="V227" s="969"/>
      <c r="W227" s="969"/>
      <c r="X227" s="969"/>
      <c r="Y227" s="969"/>
    </row>
    <row r="228" spans="1:25" ht="17.25" customHeight="1">
      <c r="A228" s="12">
        <v>131072</v>
      </c>
      <c r="B228" s="12">
        <v>131072</v>
      </c>
      <c r="C228" s="815" t="str">
        <f>IFERROR("(" &amp; VLOOKUP($B228,기업명!$CT$167:$CV$186,3,0) &amp; ")","")</f>
        <v/>
      </c>
      <c r="D228" s="816"/>
      <c r="E228" s="817"/>
      <c r="F228" s="950"/>
      <c r="G228" s="950"/>
      <c r="H228" s="950"/>
      <c r="I228" s="950"/>
      <c r="J228" s="950"/>
      <c r="K228" s="950"/>
      <c r="L228" s="950"/>
      <c r="M228" s="950"/>
      <c r="N228" s="950"/>
      <c r="O228" s="950"/>
      <c r="P228" s="969"/>
      <c r="Q228" s="969"/>
      <c r="R228" s="969"/>
      <c r="S228" s="969"/>
      <c r="T228" s="969"/>
      <c r="U228" s="969"/>
      <c r="V228" s="969"/>
      <c r="W228" s="969"/>
      <c r="X228" s="969"/>
      <c r="Y228" s="969"/>
    </row>
    <row r="229" spans="1:25" ht="17.25" customHeight="1">
      <c r="A229" s="12">
        <v>0</v>
      </c>
      <c r="B229" s="12">
        <v>262144</v>
      </c>
      <c r="C229" s="815" t="str">
        <f>IFERROR(VLOOKUP($B229,기업명!$CT$167:$CV$186,2,0),"")</f>
        <v/>
      </c>
      <c r="D229" s="816"/>
      <c r="E229" s="817"/>
      <c r="F229" s="950" t="str">
        <f>IFERROR(VLOOKUP($B229,기업명!$H$167:$AH$264,6,0),"")</f>
        <v/>
      </c>
      <c r="G229" s="950"/>
      <c r="H229" s="950"/>
      <c r="I229" s="950"/>
      <c r="J229" s="950"/>
      <c r="K229" s="950" t="str">
        <f>IFERROR(VLOOKUP($B229,기업명!$H$167:$AH$264,11,0),"")</f>
        <v/>
      </c>
      <c r="L229" s="950"/>
      <c r="M229" s="950"/>
      <c r="N229" s="950"/>
      <c r="O229" s="950"/>
      <c r="P229" s="969" t="str">
        <f>IFERROR(VLOOKUP($B229,기업명!$H$167:$AH$264,16,0) &amp; VLOOKUP($B229,기업명!$H$167:$AH$264,25,0),"")</f>
        <v/>
      </c>
      <c r="Q229" s="969"/>
      <c r="R229" s="969"/>
      <c r="S229" s="969"/>
      <c r="T229" s="969"/>
      <c r="U229" s="969" t="str">
        <f>IFERROR(VLOOKUP($B229,기업명!$H$167:$AH$264,19,0) &amp; VLOOKUP($B229,기업명!$H$167:$AH$264,25,0),"")</f>
        <v/>
      </c>
      <c r="V229" s="969"/>
      <c r="W229" s="969"/>
      <c r="X229" s="969"/>
      <c r="Y229" s="969"/>
    </row>
    <row r="230" spans="1:25" ht="17.25" customHeight="1">
      <c r="A230" s="12">
        <v>262144</v>
      </c>
      <c r="B230" s="12">
        <v>262144</v>
      </c>
      <c r="C230" s="815" t="str">
        <f>IFERROR("(" &amp; VLOOKUP($B230,기업명!$CT$167:$CV$186,3,0) &amp; ")","")</f>
        <v/>
      </c>
      <c r="D230" s="816"/>
      <c r="E230" s="817"/>
      <c r="F230" s="950"/>
      <c r="G230" s="950"/>
      <c r="H230" s="950"/>
      <c r="I230" s="950"/>
      <c r="J230" s="950"/>
      <c r="K230" s="950"/>
      <c r="L230" s="950"/>
      <c r="M230" s="950"/>
      <c r="N230" s="950"/>
      <c r="O230" s="950"/>
      <c r="P230" s="969"/>
      <c r="Q230" s="969"/>
      <c r="R230" s="969"/>
      <c r="S230" s="969"/>
      <c r="T230" s="969"/>
      <c r="U230" s="969"/>
      <c r="V230" s="969"/>
      <c r="W230" s="969"/>
      <c r="X230" s="969"/>
      <c r="Y230" s="969"/>
    </row>
    <row r="231" spans="1:25" ht="17.25" customHeight="1">
      <c r="A231" s="12">
        <v>0</v>
      </c>
      <c r="B231" s="12">
        <v>524288</v>
      </c>
      <c r="C231" s="815" t="str">
        <f>IFERROR(VLOOKUP($B231,기업명!$CT$167:$CV$186,2,0),"")</f>
        <v/>
      </c>
      <c r="D231" s="816"/>
      <c r="E231" s="817"/>
      <c r="F231" s="950" t="str">
        <f>IFERROR(VLOOKUP($B231,기업명!$H$167:$AH$264,6,0),"")</f>
        <v/>
      </c>
      <c r="G231" s="950"/>
      <c r="H231" s="950"/>
      <c r="I231" s="950"/>
      <c r="J231" s="950"/>
      <c r="K231" s="950" t="str">
        <f>IFERROR(VLOOKUP($B231,기업명!$H$167:$AH$264,11,0),"")</f>
        <v/>
      </c>
      <c r="L231" s="950"/>
      <c r="M231" s="950"/>
      <c r="N231" s="950"/>
      <c r="O231" s="950"/>
      <c r="P231" s="969" t="str">
        <f>IFERROR(VLOOKUP($B231,기업명!$H$167:$AH$264,16,0) &amp; VLOOKUP($B231,기업명!$H$167:$AH$264,25,0),"")</f>
        <v/>
      </c>
      <c r="Q231" s="969"/>
      <c r="R231" s="969"/>
      <c r="S231" s="969"/>
      <c r="T231" s="969"/>
      <c r="U231" s="969" t="str">
        <f>IFERROR(VLOOKUP($B231,기업명!$H$167:$AH$264,19,0) &amp; VLOOKUP($B231,기업명!$H$167:$AH$264,25,0),"")</f>
        <v/>
      </c>
      <c r="V231" s="969"/>
      <c r="W231" s="969"/>
      <c r="X231" s="969"/>
      <c r="Y231" s="969"/>
    </row>
    <row r="232" spans="1:25" ht="17.25" customHeight="1">
      <c r="A232" s="12">
        <v>524288</v>
      </c>
      <c r="B232" s="12">
        <v>524288</v>
      </c>
      <c r="C232" s="815" t="str">
        <f>IFERROR("(" &amp; VLOOKUP($B232,기업명!$CT$167:$CV$186,3,0) &amp; ")","")</f>
        <v/>
      </c>
      <c r="D232" s="816"/>
      <c r="E232" s="817"/>
      <c r="F232" s="950"/>
      <c r="G232" s="950"/>
      <c r="H232" s="950"/>
      <c r="I232" s="950"/>
      <c r="J232" s="950"/>
      <c r="K232" s="950"/>
      <c r="L232" s="950"/>
      <c r="M232" s="950"/>
      <c r="N232" s="950"/>
      <c r="O232" s="950"/>
      <c r="P232" s="969"/>
      <c r="Q232" s="969"/>
      <c r="R232" s="969"/>
      <c r="S232" s="969"/>
      <c r="T232" s="969"/>
      <c r="U232" s="969"/>
      <c r="V232" s="969"/>
      <c r="W232" s="969"/>
      <c r="X232" s="969"/>
      <c r="Y232" s="969"/>
    </row>
    <row r="233" spans="1:25" ht="17.25" customHeight="1" thickBot="1">
      <c r="A233" s="12"/>
      <c r="B233" s="12"/>
      <c r="C233" s="126"/>
      <c r="D233" s="126"/>
      <c r="E233" s="126"/>
      <c r="F233" s="127"/>
      <c r="G233" s="127"/>
      <c r="H233" s="127"/>
      <c r="I233" s="127"/>
      <c r="J233" s="127"/>
      <c r="K233" s="127"/>
      <c r="L233" s="127"/>
      <c r="M233" s="127"/>
      <c r="N233" s="127"/>
      <c r="O233" s="127"/>
      <c r="P233" s="128"/>
      <c r="Q233" s="128"/>
      <c r="R233" s="128"/>
      <c r="S233" s="128"/>
      <c r="T233" s="128"/>
      <c r="U233" s="128"/>
      <c r="V233" s="128"/>
      <c r="W233" s="128"/>
      <c r="X233" s="128"/>
      <c r="Y233" s="128"/>
    </row>
    <row r="234" spans="1:25" ht="24.95" customHeight="1" thickBot="1">
      <c r="B234" s="791" t="s">
        <v>607</v>
      </c>
      <c r="C234" s="792"/>
      <c r="D234" s="793" t="s">
        <v>608</v>
      </c>
      <c r="E234" s="794"/>
      <c r="F234" s="794"/>
      <c r="G234" s="794"/>
      <c r="H234" s="794"/>
      <c r="I234" s="794"/>
      <c r="J234" s="794"/>
      <c r="K234" s="794"/>
    </row>
    <row r="235" spans="1:25" ht="17.100000000000001" customHeight="1"/>
    <row r="236" spans="1:25" ht="17.100000000000001" customHeight="1">
      <c r="B236" s="123" t="s">
        <v>54</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row>
    <row r="237" spans="1:25" ht="17.100000000000001" customHeight="1">
      <c r="B237" s="123"/>
      <c r="C237" s="1019" t="str">
        <f>기업명!H15</f>
        <v>자동차시트 폼패드성형공정 고효율온조시스템의 ESG경영화</v>
      </c>
      <c r="D237" s="1020"/>
      <c r="E237" s="1020"/>
      <c r="F237" s="1020"/>
      <c r="G237" s="1020"/>
      <c r="H237" s="1020"/>
      <c r="I237" s="1020"/>
      <c r="J237" s="1020"/>
      <c r="K237" s="1020"/>
      <c r="L237" s="1020"/>
      <c r="M237" s="1020"/>
      <c r="N237" s="1020"/>
      <c r="O237" s="1020"/>
      <c r="P237" s="1020"/>
      <c r="Q237" s="1020"/>
      <c r="R237" s="1020"/>
      <c r="S237" s="1020"/>
      <c r="T237" s="1020"/>
      <c r="U237" s="1020"/>
      <c r="V237" s="1020"/>
      <c r="W237" s="1020"/>
      <c r="X237" s="1020"/>
      <c r="Y237" s="1021"/>
    </row>
    <row r="238" spans="1:25" ht="17.100000000000001" customHeight="1">
      <c r="B238" s="123"/>
      <c r="C238" s="1022"/>
      <c r="D238" s="1023"/>
      <c r="E238" s="1023"/>
      <c r="F238" s="1023"/>
      <c r="G238" s="1023"/>
      <c r="H238" s="1023"/>
      <c r="I238" s="1023"/>
      <c r="J238" s="1023"/>
      <c r="K238" s="1023"/>
      <c r="L238" s="1023"/>
      <c r="M238" s="1023"/>
      <c r="N238" s="1023"/>
      <c r="O238" s="1023"/>
      <c r="P238" s="1023"/>
      <c r="Q238" s="1023"/>
      <c r="R238" s="1023"/>
      <c r="S238" s="1023"/>
      <c r="T238" s="1023"/>
      <c r="U238" s="1023"/>
      <c r="V238" s="1023"/>
      <c r="W238" s="1023"/>
      <c r="X238" s="1023"/>
      <c r="Y238" s="1024"/>
    </row>
    <row r="239" spans="1:25" ht="17.100000000000001" customHeight="1">
      <c r="B239" s="123"/>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row>
    <row r="240" spans="1:25" ht="17.100000000000001" customHeight="1">
      <c r="B240" s="123" t="s">
        <v>55</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row>
    <row r="241" spans="2:25" ht="17.100000000000001" customHeight="1">
      <c r="C241" s="1004" t="s">
        <v>56</v>
      </c>
      <c r="D241" s="1004"/>
      <c r="E241" s="1004" t="s">
        <v>37</v>
      </c>
      <c r="F241" s="1004"/>
      <c r="G241" s="1004"/>
      <c r="H241" s="1005" t="s">
        <v>60</v>
      </c>
      <c r="I241" s="1004"/>
      <c r="J241" s="1004"/>
      <c r="K241" s="1004"/>
      <c r="L241" s="1005" t="s">
        <v>58</v>
      </c>
      <c r="M241" s="1004"/>
      <c r="N241" s="1004"/>
      <c r="O241" s="1004"/>
      <c r="P241" s="1005" t="s">
        <v>59</v>
      </c>
      <c r="Q241" s="1004"/>
      <c r="R241" s="1004"/>
      <c r="S241" s="1004"/>
      <c r="T241" s="1005" t="s">
        <v>57</v>
      </c>
      <c r="U241" s="1004"/>
      <c r="V241" s="1004" t="s">
        <v>38</v>
      </c>
      <c r="W241" s="1004"/>
      <c r="X241" s="1004"/>
      <c r="Y241" s="1004"/>
    </row>
    <row r="242" spans="2:25" ht="17.100000000000001" customHeight="1">
      <c r="C242" s="1004"/>
      <c r="D242" s="1004"/>
      <c r="E242" s="1004"/>
      <c r="F242" s="1004"/>
      <c r="G242" s="1004"/>
      <c r="H242" s="1004"/>
      <c r="I242" s="1004"/>
      <c r="J242" s="1004"/>
      <c r="K242" s="1004"/>
      <c r="L242" s="1004"/>
      <c r="M242" s="1004"/>
      <c r="N242" s="1004"/>
      <c r="O242" s="1004"/>
      <c r="P242" s="1004"/>
      <c r="Q242" s="1004"/>
      <c r="R242" s="1004"/>
      <c r="S242" s="1004"/>
      <c r="T242" s="1004"/>
      <c r="U242" s="1004"/>
      <c r="V242" s="1004" t="s">
        <v>39</v>
      </c>
      <c r="W242" s="1004"/>
      <c r="X242" s="1004" t="s">
        <v>40</v>
      </c>
      <c r="Y242" s="1004"/>
    </row>
    <row r="243" spans="2:25" ht="17.100000000000001" customHeight="1">
      <c r="B243" s="921">
        <v>1</v>
      </c>
      <c r="C243" s="950" t="str">
        <f>IFERROR(기업명!BW167,"")</f>
        <v>온실가스 저감</v>
      </c>
      <c r="D243" s="950"/>
      <c r="E243" s="950" t="str">
        <f>IFERROR(기업명!BX167,"")</f>
        <v>폼패드 성형공정 온조기 히터시설</v>
      </c>
      <c r="F243" s="950"/>
      <c r="G243" s="950"/>
      <c r="H243" s="951" t="str">
        <f>IFERROR(기업명!BY167 &amp; 기업명!CB167,"")</f>
        <v>1558.7tCO2eq/년
(3392928kWh/년)</v>
      </c>
      <c r="I243" s="952"/>
      <c r="J243" s="952"/>
      <c r="K243" s="953"/>
      <c r="L243" s="951" t="str">
        <f>IFERROR(기업명!BZ167 &amp; 기업명!CB167,"")</f>
        <v>1428.8tCO2eq/년
(3110184kWh/년)</v>
      </c>
      <c r="M243" s="952"/>
      <c r="N243" s="952"/>
      <c r="O243" s="953"/>
      <c r="P243" s="957" t="str">
        <f>IFERROR(기업명!CA167 &amp; 기업명!CB167,"")</f>
        <v>129.9tCO2eq/년
(282744kWh/년)</v>
      </c>
      <c r="Q243" s="958"/>
      <c r="R243" s="958"/>
      <c r="S243" s="959"/>
      <c r="T243" s="926">
        <f>IFERROR(기업명!CC167,"")</f>
        <v>8.333867966895496E-2</v>
      </c>
      <c r="U243" s="927"/>
      <c r="V243" s="1006">
        <f>IFERROR(기업명!CD167,"")</f>
        <v>0.69</v>
      </c>
      <c r="W243" s="1006"/>
      <c r="X243" s="917">
        <f>IFERROR(기업명!CE167,"")</f>
        <v>7.63</v>
      </c>
      <c r="Y243" s="918"/>
    </row>
    <row r="244" spans="2:25" ht="17.100000000000001" customHeight="1">
      <c r="B244" s="921"/>
      <c r="C244" s="950"/>
      <c r="D244" s="950"/>
      <c r="E244" s="950"/>
      <c r="F244" s="950"/>
      <c r="G244" s="950"/>
      <c r="H244" s="954"/>
      <c r="I244" s="955"/>
      <c r="J244" s="955"/>
      <c r="K244" s="956"/>
      <c r="L244" s="954"/>
      <c r="M244" s="955"/>
      <c r="N244" s="955"/>
      <c r="O244" s="956"/>
      <c r="P244" s="960"/>
      <c r="Q244" s="961"/>
      <c r="R244" s="961"/>
      <c r="S244" s="962"/>
      <c r="T244" s="928"/>
      <c r="U244" s="929"/>
      <c r="V244" s="1006"/>
      <c r="W244" s="1006"/>
      <c r="X244" s="919"/>
      <c r="Y244" s="920"/>
    </row>
    <row r="245" spans="2:25" ht="17.100000000000001" customHeight="1">
      <c r="B245" s="921">
        <f>SUM(B243)+1</f>
        <v>2</v>
      </c>
      <c r="C245" s="950" t="str">
        <f>IFERROR(기업명!BW168,"")</f>
        <v>온실가스 저감</v>
      </c>
      <c r="D245" s="950"/>
      <c r="E245" s="950" t="str">
        <f>IFERROR(기업명!BX168,"")</f>
        <v>고효율 펌프 가변제어 장치</v>
      </c>
      <c r="F245" s="950"/>
      <c r="G245" s="950"/>
      <c r="H245" s="951" t="str">
        <f>IFERROR(기업명!BY168 &amp; 기업명!CB168,"")</f>
        <v>382.5tCO2eq/년
(832524kWh/년)</v>
      </c>
      <c r="I245" s="952"/>
      <c r="J245" s="952"/>
      <c r="K245" s="953"/>
      <c r="L245" s="951" t="str">
        <f>IFERROR(기업명!BZ168 &amp; 기업명!CB168,"")</f>
        <v>306tCO2eq/년
(666019kWh/년)</v>
      </c>
      <c r="M245" s="952"/>
      <c r="N245" s="952"/>
      <c r="O245" s="953"/>
      <c r="P245" s="957" t="str">
        <f>IFERROR(기업명!CA168 &amp; 기업명!CB168,"")</f>
        <v>76.5tCO2eq/년
(166505kWh/년)</v>
      </c>
      <c r="Q245" s="958"/>
      <c r="R245" s="958"/>
      <c r="S245" s="959"/>
      <c r="T245" s="926">
        <f>IFERROR(기업명!CC168,"")</f>
        <v>0.2</v>
      </c>
      <c r="U245" s="927"/>
      <c r="V245" s="1006">
        <f>IFERROR(기업명!CD168,"")</f>
        <v>0.38</v>
      </c>
      <c r="W245" s="1006"/>
      <c r="X245" s="917">
        <f>IFERROR(기업명!CE168,"")</f>
        <v>3.79</v>
      </c>
      <c r="Y245" s="918"/>
    </row>
    <row r="246" spans="2:25" ht="17.100000000000001" customHeight="1">
      <c r="B246" s="921"/>
      <c r="C246" s="950"/>
      <c r="D246" s="950"/>
      <c r="E246" s="950"/>
      <c r="F246" s="950"/>
      <c r="G246" s="950"/>
      <c r="H246" s="954"/>
      <c r="I246" s="955"/>
      <c r="J246" s="955"/>
      <c r="K246" s="956"/>
      <c r="L246" s="954"/>
      <c r="M246" s="955"/>
      <c r="N246" s="955"/>
      <c r="O246" s="956"/>
      <c r="P246" s="960"/>
      <c r="Q246" s="961"/>
      <c r="R246" s="961"/>
      <c r="S246" s="962"/>
      <c r="T246" s="928"/>
      <c r="U246" s="929"/>
      <c r="V246" s="1006"/>
      <c r="W246" s="1006"/>
      <c r="X246" s="919"/>
      <c r="Y246" s="920"/>
    </row>
    <row r="247" spans="2:25" ht="17.100000000000001" customHeight="1">
      <c r="B247" s="921">
        <f>SUM($B$243:B246)+1</f>
        <v>4</v>
      </c>
      <c r="C247" s="950" t="str">
        <f>IFERROR(기업명!BW169,"")</f>
        <v>온실가스 저감</v>
      </c>
      <c r="D247" s="950"/>
      <c r="E247" s="950" t="str">
        <f>IFERROR(기업명!BX169,"")</f>
        <v>합계</v>
      </c>
      <c r="F247" s="950"/>
      <c r="G247" s="950"/>
      <c r="H247" s="951" t="str">
        <f>IFERROR(기업명!BY169 &amp; 기업명!CB169,"")</f>
        <v>1941.2tCO2eq/년(4225452kWh/년)</v>
      </c>
      <c r="I247" s="952"/>
      <c r="J247" s="952"/>
      <c r="K247" s="953"/>
      <c r="L247" s="951" t="str">
        <f>IFERROR(기업명!BZ169 &amp; 기업명!CB169,"")</f>
        <v>1734.8tCO2eq/년(3776203kWh/년)</v>
      </c>
      <c r="M247" s="952"/>
      <c r="N247" s="952"/>
      <c r="O247" s="953"/>
      <c r="P247" s="957" t="str">
        <f>IFERROR(기업명!CA169 &amp; 기업명!CB169,"")</f>
        <v>206.4tCO2eq/년(449249kWh/년)</v>
      </c>
      <c r="Q247" s="958"/>
      <c r="R247" s="958"/>
      <c r="S247" s="959"/>
      <c r="T247" s="926">
        <f>IFERROR(기업명!CC169,"")</f>
        <v>0.10632598392746759</v>
      </c>
      <c r="U247" s="927"/>
      <c r="V247" s="1006">
        <f>IFERROR(기업명!CD169,"")</f>
        <v>0</v>
      </c>
      <c r="W247" s="1006"/>
      <c r="X247" s="917">
        <f>IFERROR(기업명!CE169,"")</f>
        <v>0</v>
      </c>
      <c r="Y247" s="918"/>
    </row>
    <row r="248" spans="2:25" ht="17.100000000000001" customHeight="1">
      <c r="B248" s="921"/>
      <c r="C248" s="950"/>
      <c r="D248" s="950"/>
      <c r="E248" s="950"/>
      <c r="F248" s="950"/>
      <c r="G248" s="950"/>
      <c r="H248" s="954"/>
      <c r="I248" s="955"/>
      <c r="J248" s="955"/>
      <c r="K248" s="956"/>
      <c r="L248" s="954"/>
      <c r="M248" s="955"/>
      <c r="N248" s="955"/>
      <c r="O248" s="956"/>
      <c r="P248" s="960"/>
      <c r="Q248" s="961"/>
      <c r="R248" s="961"/>
      <c r="S248" s="962"/>
      <c r="T248" s="928"/>
      <c r="U248" s="929"/>
      <c r="V248" s="1006"/>
      <c r="W248" s="1006"/>
      <c r="X248" s="919"/>
      <c r="Y248" s="920"/>
    </row>
    <row r="249" spans="2:25" ht="17.100000000000001" customHeight="1">
      <c r="B249" s="921">
        <f>SUM($B$243:B248)+1</f>
        <v>8</v>
      </c>
      <c r="C249" s="950" t="str">
        <f>IFERROR(기업명!BW170,"")</f>
        <v>ICT</v>
      </c>
      <c r="D249" s="950"/>
      <c r="E249" s="950" t="str">
        <f>IFERROR(기업명!BX170,"")</f>
        <v>사업성과 모니터링시스템</v>
      </c>
      <c r="F249" s="950"/>
      <c r="G249" s="950"/>
      <c r="H249" s="951" t="str">
        <f>IFERROR(기업명!BY170 &amp; 기업명!CB170,"")</f>
        <v>0천원/년</v>
      </c>
      <c r="I249" s="952"/>
      <c r="J249" s="952"/>
      <c r="K249" s="953"/>
      <c r="L249" s="951" t="str">
        <f>IFERROR(기업명!BZ170 &amp; 기업명!CB170,"")</f>
        <v>102005천원/년</v>
      </c>
      <c r="M249" s="952"/>
      <c r="N249" s="952"/>
      <c r="O249" s="953"/>
      <c r="P249" s="957" t="str">
        <f>IFERROR(기업명!CA170 &amp; 기업명!CB170,"")</f>
        <v>102005천원/년</v>
      </c>
      <c r="Q249" s="958"/>
      <c r="R249" s="958"/>
      <c r="S249" s="959"/>
      <c r="T249" s="926">
        <f>IFERROR(기업명!CC170,"")</f>
        <v>1</v>
      </c>
      <c r="U249" s="927"/>
      <c r="V249" s="1006">
        <f>IFERROR(기업명!CD170,"")</f>
        <v>0.63</v>
      </c>
      <c r="W249" s="1006"/>
      <c r="X249" s="917">
        <f>IFERROR(기업명!CE170,"")</f>
        <v>7.51</v>
      </c>
      <c r="Y249" s="918"/>
    </row>
    <row r="250" spans="2:25" ht="17.100000000000001" customHeight="1">
      <c r="B250" s="921"/>
      <c r="C250" s="950"/>
      <c r="D250" s="950"/>
      <c r="E250" s="950"/>
      <c r="F250" s="950"/>
      <c r="G250" s="950"/>
      <c r="H250" s="954"/>
      <c r="I250" s="955"/>
      <c r="J250" s="955"/>
      <c r="K250" s="956"/>
      <c r="L250" s="954"/>
      <c r="M250" s="955"/>
      <c r="N250" s="955"/>
      <c r="O250" s="956"/>
      <c r="P250" s="960"/>
      <c r="Q250" s="961"/>
      <c r="R250" s="961"/>
      <c r="S250" s="962"/>
      <c r="T250" s="928"/>
      <c r="U250" s="929"/>
      <c r="V250" s="1006"/>
      <c r="W250" s="1006"/>
      <c r="X250" s="919"/>
      <c r="Y250" s="920"/>
    </row>
    <row r="251" spans="2:25" ht="17.100000000000001" customHeight="1">
      <c r="B251" s="921">
        <f>SUM($B$243:B250)+1</f>
        <v>16</v>
      </c>
      <c r="C251" s="950" t="str">
        <f>IFERROR(기업명!BW171,"")</f>
        <v>ICT</v>
      </c>
      <c r="D251" s="950"/>
      <c r="E251" s="950" t="str">
        <f>IFERROR(기업명!BX171,"")</f>
        <v>합계</v>
      </c>
      <c r="F251" s="950"/>
      <c r="G251" s="950"/>
      <c r="H251" s="951" t="str">
        <f>IFERROR(기업명!BY171 &amp; 기업명!CB171,"")</f>
        <v>0천원/년</v>
      </c>
      <c r="I251" s="952"/>
      <c r="J251" s="952"/>
      <c r="K251" s="953"/>
      <c r="L251" s="951" t="str">
        <f>IFERROR(기업명!BZ171 &amp; 기업명!CB171,"")</f>
        <v>102005천원/년</v>
      </c>
      <c r="M251" s="952"/>
      <c r="N251" s="952"/>
      <c r="O251" s="953"/>
      <c r="P251" s="957" t="str">
        <f>IFERROR(기업명!CA171 &amp; 기업명!CB171,"")</f>
        <v>102005천원/년</v>
      </c>
      <c r="Q251" s="958"/>
      <c r="R251" s="958"/>
      <c r="S251" s="959"/>
      <c r="T251" s="926">
        <f>IFERROR(기업명!CC171,"")</f>
        <v>1</v>
      </c>
      <c r="U251" s="927"/>
      <c r="V251" s="1006">
        <f>IFERROR(기업명!CD171,"")</f>
        <v>0</v>
      </c>
      <c r="W251" s="1006"/>
      <c r="X251" s="917">
        <f>IFERROR(기업명!CE171,"")</f>
        <v>0</v>
      </c>
      <c r="Y251" s="918"/>
    </row>
    <row r="252" spans="2:25" ht="17.100000000000001" customHeight="1">
      <c r="B252" s="921"/>
      <c r="C252" s="950"/>
      <c r="D252" s="950"/>
      <c r="E252" s="950"/>
      <c r="F252" s="950"/>
      <c r="G252" s="950"/>
      <c r="H252" s="954"/>
      <c r="I252" s="955"/>
      <c r="J252" s="955"/>
      <c r="K252" s="956"/>
      <c r="L252" s="954"/>
      <c r="M252" s="955"/>
      <c r="N252" s="955"/>
      <c r="O252" s="956"/>
      <c r="P252" s="960"/>
      <c r="Q252" s="961"/>
      <c r="R252" s="961"/>
      <c r="S252" s="962"/>
      <c r="T252" s="928"/>
      <c r="U252" s="929"/>
      <c r="V252" s="1006"/>
      <c r="W252" s="1006"/>
      <c r="X252" s="919"/>
      <c r="Y252" s="920"/>
    </row>
    <row r="253" spans="2:25" ht="17.100000000000001" customHeight="1">
      <c r="B253" s="921">
        <f>SUM($B$243:B252)+1</f>
        <v>32</v>
      </c>
      <c r="C253" s="950" t="str">
        <f>IFERROR(기업명!BW172,"")</f>
        <v>대기오염 저감</v>
      </c>
      <c r="D253" s="950"/>
      <c r="E253" s="950" t="str">
        <f>IFERROR(기업명!BX172,"")</f>
        <v>고효율 여과 집진시설</v>
      </c>
      <c r="F253" s="950"/>
      <c r="G253" s="950"/>
      <c r="H253" s="951" t="str">
        <f>IFERROR(기업명!BY172 &amp; 기업명!CB172,"")</f>
        <v>0.0085ppm</v>
      </c>
      <c r="I253" s="952"/>
      <c r="J253" s="952"/>
      <c r="K253" s="953"/>
      <c r="L253" s="951" t="str">
        <f>IFERROR(기업명!BZ172 &amp; 기업명!CB172,"")</f>
        <v>0.00085ppm</v>
      </c>
      <c r="M253" s="952"/>
      <c r="N253" s="952"/>
      <c r="O253" s="953"/>
      <c r="P253" s="957" t="str">
        <f>IFERROR(기업명!CA172 &amp; 기업명!CB172,"")</f>
        <v>0.00765ppm</v>
      </c>
      <c r="Q253" s="958"/>
      <c r="R253" s="958"/>
      <c r="S253" s="959"/>
      <c r="T253" s="926">
        <f>IFERROR(기업명!CC172,"")</f>
        <v>0.9</v>
      </c>
      <c r="U253" s="927"/>
      <c r="V253" s="1006">
        <f>IFERROR(기업명!CD172,"")</f>
        <v>0.53</v>
      </c>
      <c r="W253" s="1006"/>
      <c r="X253" s="917">
        <f>IFERROR(기업명!CE172,"")</f>
        <v>6.38</v>
      </c>
      <c r="Y253" s="918"/>
    </row>
    <row r="254" spans="2:25" ht="17.100000000000001" customHeight="1">
      <c r="B254" s="921"/>
      <c r="C254" s="950"/>
      <c r="D254" s="950"/>
      <c r="E254" s="950"/>
      <c r="F254" s="950"/>
      <c r="G254" s="950"/>
      <c r="H254" s="954"/>
      <c r="I254" s="955"/>
      <c r="J254" s="955"/>
      <c r="K254" s="956"/>
      <c r="L254" s="954"/>
      <c r="M254" s="955"/>
      <c r="N254" s="955"/>
      <c r="O254" s="956"/>
      <c r="P254" s="960"/>
      <c r="Q254" s="961"/>
      <c r="R254" s="961"/>
      <c r="S254" s="962"/>
      <c r="T254" s="928"/>
      <c r="U254" s="929"/>
      <c r="V254" s="1006"/>
      <c r="W254" s="1006"/>
      <c r="X254" s="919"/>
      <c r="Y254" s="920"/>
    </row>
    <row r="255" spans="2:25" ht="17.100000000000001" customHeight="1">
      <c r="B255" s="921">
        <f>SUM($B$243:B254)+1</f>
        <v>64</v>
      </c>
      <c r="C255" s="950" t="str">
        <f>IFERROR(기업명!BW173,"")</f>
        <v>대기오염 저감</v>
      </c>
      <c r="D255" s="950"/>
      <c r="E255" s="950" t="str">
        <f>IFERROR(기업명!BX173,"")</f>
        <v>합계</v>
      </c>
      <c r="F255" s="950"/>
      <c r="G255" s="950"/>
      <c r="H255" s="951" t="str">
        <f>IFERROR(기업명!BY173 &amp; 기업명!CB173,"")</f>
        <v>0.0085ppm</v>
      </c>
      <c r="I255" s="952"/>
      <c r="J255" s="952"/>
      <c r="K255" s="953"/>
      <c r="L255" s="951" t="str">
        <f>IFERROR(기업명!BZ173 &amp; 기업명!CB173,"")</f>
        <v>0.00085ppm</v>
      </c>
      <c r="M255" s="952"/>
      <c r="N255" s="952"/>
      <c r="O255" s="953"/>
      <c r="P255" s="957" t="str">
        <f>IFERROR(기업명!CA173 &amp; 기업명!CB173,"")</f>
        <v>0.00765ppm</v>
      </c>
      <c r="Q255" s="958"/>
      <c r="R255" s="958"/>
      <c r="S255" s="959"/>
      <c r="T255" s="926">
        <f>IFERROR(기업명!CC173,"")</f>
        <v>0.9</v>
      </c>
      <c r="U255" s="927"/>
      <c r="V255" s="1006">
        <f>IFERROR(기업명!CD173,"")</f>
        <v>0</v>
      </c>
      <c r="W255" s="1006"/>
      <c r="X255" s="917">
        <f>IFERROR(기업명!CE173,"")</f>
        <v>0</v>
      </c>
      <c r="Y255" s="918"/>
    </row>
    <row r="256" spans="2:25" ht="17.100000000000001" customHeight="1">
      <c r="B256" s="921"/>
      <c r="C256" s="950"/>
      <c r="D256" s="950"/>
      <c r="E256" s="950"/>
      <c r="F256" s="950"/>
      <c r="G256" s="950"/>
      <c r="H256" s="954"/>
      <c r="I256" s="955"/>
      <c r="J256" s="955"/>
      <c r="K256" s="956"/>
      <c r="L256" s="954"/>
      <c r="M256" s="955"/>
      <c r="N256" s="955"/>
      <c r="O256" s="956"/>
      <c r="P256" s="960"/>
      <c r="Q256" s="961"/>
      <c r="R256" s="961"/>
      <c r="S256" s="962"/>
      <c r="T256" s="928"/>
      <c r="U256" s="929"/>
      <c r="V256" s="1006"/>
      <c r="W256" s="1006"/>
      <c r="X256" s="919"/>
      <c r="Y256" s="920"/>
    </row>
    <row r="257" spans="2:25" ht="17.100000000000001" customHeight="1">
      <c r="B257" s="921">
        <f>SUM($B$243:B256)+1</f>
        <v>128</v>
      </c>
      <c r="C257" s="950" t="str">
        <f>IFERROR(기업명!BW174,"")</f>
        <v>폐기물배출 저감</v>
      </c>
      <c r="D257" s="950"/>
      <c r="E257" s="950" t="str">
        <f>IFERROR(기업명!BX174,"")</f>
        <v>발포라인 딥러닝 시스템</v>
      </c>
      <c r="F257" s="950"/>
      <c r="G257" s="950"/>
      <c r="H257" s="951" t="str">
        <f>IFERROR(기업명!BY174 &amp; 기업명!CB174,"")</f>
        <v>3.5ton/년</v>
      </c>
      <c r="I257" s="952"/>
      <c r="J257" s="952"/>
      <c r="K257" s="953"/>
      <c r="L257" s="951" t="str">
        <f>IFERROR(기업명!BZ174 &amp; 기업명!CB174,"")</f>
        <v>0.7ton/년</v>
      </c>
      <c r="M257" s="952"/>
      <c r="N257" s="952"/>
      <c r="O257" s="953"/>
      <c r="P257" s="957" t="str">
        <f>IFERROR(기업명!CA174 &amp; 기업명!CB174,"")</f>
        <v>2.8ton/년</v>
      </c>
      <c r="Q257" s="958"/>
      <c r="R257" s="958"/>
      <c r="S257" s="959"/>
      <c r="T257" s="926">
        <f>IFERROR(기업명!CC174,"")</f>
        <v>0.79999999999999993</v>
      </c>
      <c r="U257" s="927"/>
      <c r="V257" s="1006">
        <f>IFERROR(기업명!CD174,"")</f>
        <v>0.56000000000000005</v>
      </c>
      <c r="W257" s="1006"/>
      <c r="X257" s="917">
        <f>IFERROR(기업명!CE174,"")</f>
        <v>4.5199999999999996</v>
      </c>
      <c r="Y257" s="918"/>
    </row>
    <row r="258" spans="2:25" ht="17.100000000000001" customHeight="1">
      <c r="B258" s="921"/>
      <c r="C258" s="950"/>
      <c r="D258" s="950"/>
      <c r="E258" s="950"/>
      <c r="F258" s="950"/>
      <c r="G258" s="950"/>
      <c r="H258" s="954"/>
      <c r="I258" s="955"/>
      <c r="J258" s="955"/>
      <c r="K258" s="956"/>
      <c r="L258" s="954"/>
      <c r="M258" s="955"/>
      <c r="N258" s="955"/>
      <c r="O258" s="956"/>
      <c r="P258" s="960"/>
      <c r="Q258" s="961"/>
      <c r="R258" s="961"/>
      <c r="S258" s="962"/>
      <c r="T258" s="928"/>
      <c r="U258" s="929"/>
      <c r="V258" s="1006"/>
      <c r="W258" s="1006"/>
      <c r="X258" s="919"/>
      <c r="Y258" s="920"/>
    </row>
    <row r="259" spans="2:25" ht="17.100000000000001" customHeight="1">
      <c r="B259" s="921">
        <f>SUM($B$243:B258)+1</f>
        <v>256</v>
      </c>
      <c r="C259" s="950" t="str">
        <f>IFERROR(기업명!BW175,"")</f>
        <v>폐기물배출 저감</v>
      </c>
      <c r="D259" s="950"/>
      <c r="E259" s="950" t="str">
        <f>IFERROR(기업명!BX175,"")</f>
        <v>합계</v>
      </c>
      <c r="F259" s="950"/>
      <c r="G259" s="950"/>
      <c r="H259" s="951" t="str">
        <f>IFERROR(기업명!BY175 &amp; 기업명!CB175,"")</f>
        <v>3.5ton/년</v>
      </c>
      <c r="I259" s="952"/>
      <c r="J259" s="952"/>
      <c r="K259" s="953"/>
      <c r="L259" s="951" t="str">
        <f>IFERROR(기업명!BZ175 &amp; 기업명!CB175,"")</f>
        <v>0.7ton/년</v>
      </c>
      <c r="M259" s="952"/>
      <c r="N259" s="952"/>
      <c r="O259" s="953"/>
      <c r="P259" s="957" t="str">
        <f>IFERROR(기업명!CA175 &amp; 기업명!CB175,"")</f>
        <v>2.8ton/년</v>
      </c>
      <c r="Q259" s="958"/>
      <c r="R259" s="958"/>
      <c r="S259" s="959"/>
      <c r="T259" s="926">
        <f>IFERROR(기업명!CC175,"")</f>
        <v>0.79999999999999993</v>
      </c>
      <c r="U259" s="927"/>
      <c r="V259" s="1006">
        <f>IFERROR(기업명!CD175,"")</f>
        <v>0</v>
      </c>
      <c r="W259" s="1006"/>
      <c r="X259" s="917">
        <f>IFERROR(기업명!CE175,"")</f>
        <v>0</v>
      </c>
      <c r="Y259" s="918"/>
    </row>
    <row r="260" spans="2:25" ht="17.100000000000001" customHeight="1">
      <c r="B260" s="921"/>
      <c r="C260" s="950"/>
      <c r="D260" s="950"/>
      <c r="E260" s="950"/>
      <c r="F260" s="950"/>
      <c r="G260" s="950"/>
      <c r="H260" s="954"/>
      <c r="I260" s="955"/>
      <c r="J260" s="955"/>
      <c r="K260" s="956"/>
      <c r="L260" s="954"/>
      <c r="M260" s="955"/>
      <c r="N260" s="955"/>
      <c r="O260" s="956"/>
      <c r="P260" s="960"/>
      <c r="Q260" s="961"/>
      <c r="R260" s="961"/>
      <c r="S260" s="962"/>
      <c r="T260" s="928"/>
      <c r="U260" s="929"/>
      <c r="V260" s="1006"/>
      <c r="W260" s="1006"/>
      <c r="X260" s="919"/>
      <c r="Y260" s="920"/>
    </row>
    <row r="261" spans="2:25" ht="17.100000000000001" customHeight="1">
      <c r="B261" s="921">
        <f>SUM($B$243:B260)+1</f>
        <v>512</v>
      </c>
      <c r="C261" s="950" t="str">
        <f>IFERROR(기업명!BW176,"")</f>
        <v>자원순환</v>
      </c>
      <c r="D261" s="950"/>
      <c r="E261" s="950" t="str">
        <f>IFERROR(기업명!BX176,"")</f>
        <v>빗물 재이용시설</v>
      </c>
      <c r="F261" s="950"/>
      <c r="G261" s="950"/>
      <c r="H261" s="951" t="str">
        <f>IFERROR(기업명!BY176 &amp; 기업명!CB176,"")</f>
        <v>0ton/년</v>
      </c>
      <c r="I261" s="952"/>
      <c r="J261" s="952"/>
      <c r="K261" s="953"/>
      <c r="L261" s="951" t="str">
        <f>IFERROR(기업명!BZ176 &amp; 기업명!CB176,"")</f>
        <v>257.4ton/년</v>
      </c>
      <c r="M261" s="952"/>
      <c r="N261" s="952"/>
      <c r="O261" s="953"/>
      <c r="P261" s="957" t="str">
        <f>IFERROR(기업명!CA176 &amp; 기업명!CB176,"")</f>
        <v>257.4ton/년</v>
      </c>
      <c r="Q261" s="958"/>
      <c r="R261" s="958"/>
      <c r="S261" s="959"/>
      <c r="T261" s="926">
        <f>IFERROR(기업명!CC176,"")</f>
        <v>1</v>
      </c>
      <c r="U261" s="927"/>
      <c r="V261" s="1006">
        <f>IFERROR(기업명!CD176,"")</f>
        <v>0.19</v>
      </c>
      <c r="W261" s="1006"/>
      <c r="X261" s="917">
        <f>IFERROR(기업명!CE176,"")</f>
        <v>1.54</v>
      </c>
      <c r="Y261" s="918"/>
    </row>
    <row r="262" spans="2:25" ht="17.100000000000001" customHeight="1">
      <c r="B262" s="921"/>
      <c r="C262" s="950"/>
      <c r="D262" s="950"/>
      <c r="E262" s="950"/>
      <c r="F262" s="950"/>
      <c r="G262" s="950"/>
      <c r="H262" s="954"/>
      <c r="I262" s="955"/>
      <c r="J262" s="955"/>
      <c r="K262" s="956"/>
      <c r="L262" s="954"/>
      <c r="M262" s="955"/>
      <c r="N262" s="955"/>
      <c r="O262" s="956"/>
      <c r="P262" s="960"/>
      <c r="Q262" s="961"/>
      <c r="R262" s="961"/>
      <c r="S262" s="962"/>
      <c r="T262" s="928"/>
      <c r="U262" s="929"/>
      <c r="V262" s="1006"/>
      <c r="W262" s="1006"/>
      <c r="X262" s="919"/>
      <c r="Y262" s="920"/>
    </row>
    <row r="263" spans="2:25" ht="17.100000000000001" customHeight="1">
      <c r="B263" s="921">
        <f>SUM($B$243:B262)+1</f>
        <v>1024</v>
      </c>
      <c r="C263" s="950" t="str">
        <f>IFERROR(기업명!BW177,"")</f>
        <v>자원순환</v>
      </c>
      <c r="D263" s="950"/>
      <c r="E263" s="950" t="str">
        <f>IFERROR(기업명!BX177,"")</f>
        <v>합계</v>
      </c>
      <c r="F263" s="950"/>
      <c r="G263" s="950"/>
      <c r="H263" s="951" t="str">
        <f>IFERROR(기업명!BY177 &amp; 기업명!CB177,"")</f>
        <v>0ton/년</v>
      </c>
      <c r="I263" s="952"/>
      <c r="J263" s="952"/>
      <c r="K263" s="953"/>
      <c r="L263" s="951" t="str">
        <f>IFERROR(기업명!BZ177 &amp; 기업명!CB177,"")</f>
        <v>257.4ton/년</v>
      </c>
      <c r="M263" s="952"/>
      <c r="N263" s="952"/>
      <c r="O263" s="953"/>
      <c r="P263" s="957" t="str">
        <f>IFERROR(기업명!CA177 &amp; 기업명!CB177,"")</f>
        <v>257.4ton/년</v>
      </c>
      <c r="Q263" s="958"/>
      <c r="R263" s="958"/>
      <c r="S263" s="959"/>
      <c r="T263" s="926">
        <f>IFERROR(기업명!CC177,"")</f>
        <v>1</v>
      </c>
      <c r="U263" s="927"/>
      <c r="V263" s="1006">
        <f>IFERROR(기업명!CD177,"")</f>
        <v>0</v>
      </c>
      <c r="W263" s="1006"/>
      <c r="X263" s="917">
        <f>IFERROR(기업명!CE177,"")</f>
        <v>0</v>
      </c>
      <c r="Y263" s="918"/>
    </row>
    <row r="264" spans="2:25" ht="17.100000000000001" customHeight="1">
      <c r="B264" s="921"/>
      <c r="C264" s="950"/>
      <c r="D264" s="950"/>
      <c r="E264" s="950"/>
      <c r="F264" s="950"/>
      <c r="G264" s="950"/>
      <c r="H264" s="954"/>
      <c r="I264" s="955"/>
      <c r="J264" s="955"/>
      <c r="K264" s="956"/>
      <c r="L264" s="954"/>
      <c r="M264" s="955"/>
      <c r="N264" s="955"/>
      <c r="O264" s="956"/>
      <c r="P264" s="960"/>
      <c r="Q264" s="961"/>
      <c r="R264" s="961"/>
      <c r="S264" s="962"/>
      <c r="T264" s="928"/>
      <c r="U264" s="929"/>
      <c r="V264" s="1006"/>
      <c r="W264" s="1006"/>
      <c r="X264" s="919"/>
      <c r="Y264" s="920"/>
    </row>
    <row r="265" spans="2:25" ht="17.100000000000001" customHeight="1">
      <c r="B265" s="921">
        <f>SUM($B$243:B264)+1</f>
        <v>2048</v>
      </c>
      <c r="C265" s="950" t="str">
        <f>IFERROR(기업명!BW178,"")</f>
        <v>고용창출</v>
      </c>
      <c r="D265" s="950"/>
      <c r="E265" s="950" t="str">
        <f>IFERROR(기업명!BX178,"")</f>
        <v>-</v>
      </c>
      <c r="F265" s="950"/>
      <c r="G265" s="950"/>
      <c r="H265" s="951" t="str">
        <f>IFERROR(기업명!BY178 &amp; 기업명!CB178,"")</f>
        <v>0명</v>
      </c>
      <c r="I265" s="952"/>
      <c r="J265" s="952"/>
      <c r="K265" s="953"/>
      <c r="L265" s="951" t="str">
        <f>IFERROR(기업명!BZ178 &amp; 기업명!CB178,"")</f>
        <v>2명</v>
      </c>
      <c r="M265" s="952"/>
      <c r="N265" s="952"/>
      <c r="O265" s="953"/>
      <c r="P265" s="963" t="str">
        <f>IFERROR(기업명!CA178 &amp; 기업명!CB178,"")</f>
        <v>2명</v>
      </c>
      <c r="Q265" s="964"/>
      <c r="R265" s="964"/>
      <c r="S265" s="965"/>
      <c r="T265" s="926">
        <f>IFERROR(기업명!CC178,"")</f>
        <v>1</v>
      </c>
      <c r="U265" s="927"/>
      <c r="V265" s="1006">
        <f>IFERROR(기업명!CD178,"")</f>
        <v>0</v>
      </c>
      <c r="W265" s="1006"/>
      <c r="X265" s="917">
        <f>IFERROR(기업명!CE178,"")</f>
        <v>0</v>
      </c>
      <c r="Y265" s="918"/>
    </row>
    <row r="266" spans="2:25" ht="17.100000000000001" customHeight="1">
      <c r="B266" s="921"/>
      <c r="C266" s="950"/>
      <c r="D266" s="950"/>
      <c r="E266" s="950"/>
      <c r="F266" s="950"/>
      <c r="G266" s="950"/>
      <c r="H266" s="954"/>
      <c r="I266" s="955"/>
      <c r="J266" s="955"/>
      <c r="K266" s="956"/>
      <c r="L266" s="954"/>
      <c r="M266" s="955"/>
      <c r="N266" s="955"/>
      <c r="O266" s="956"/>
      <c r="P266" s="966"/>
      <c r="Q266" s="967"/>
      <c r="R266" s="967"/>
      <c r="S266" s="968"/>
      <c r="T266" s="928"/>
      <c r="U266" s="929"/>
      <c r="V266" s="1006"/>
      <c r="W266" s="1006"/>
      <c r="X266" s="919"/>
      <c r="Y266" s="920"/>
    </row>
    <row r="267" spans="2:25" ht="17.100000000000001" customHeight="1">
      <c r="B267" s="921">
        <f>SUM($B$243:B266)+1</f>
        <v>4096</v>
      </c>
      <c r="C267" s="950" t="str">
        <f>IFERROR(기업명!BW179,"")</f>
        <v>경제적효과</v>
      </c>
      <c r="D267" s="950"/>
      <c r="E267" s="950" t="str">
        <f>IFERROR(기업명!BX179,"")</f>
        <v>-</v>
      </c>
      <c r="F267" s="950"/>
      <c r="G267" s="950"/>
      <c r="H267" s="951" t="str">
        <f>IFERROR(기업명!BY179 &amp; 기업명!CB179,"")</f>
        <v>0천원/년</v>
      </c>
      <c r="I267" s="952"/>
      <c r="J267" s="952"/>
      <c r="K267" s="953"/>
      <c r="L267" s="951" t="str">
        <f>IFERROR(기업명!BZ179 &amp; 기업명!CB179,"")</f>
        <v>407697천원/년</v>
      </c>
      <c r="M267" s="952"/>
      <c r="N267" s="952"/>
      <c r="O267" s="953"/>
      <c r="P267" s="957" t="str">
        <f>IFERROR(기업명!CA179 &amp; 기업명!CB179,"")</f>
        <v>407697천원/년</v>
      </c>
      <c r="Q267" s="958"/>
      <c r="R267" s="958"/>
      <c r="S267" s="959"/>
      <c r="T267" s="926">
        <f>IFERROR(기업명!CC179,"")</f>
        <v>1</v>
      </c>
      <c r="U267" s="927"/>
      <c r="V267" s="1006">
        <f>IFERROR(기업명!CD179,"")</f>
        <v>0</v>
      </c>
      <c r="W267" s="1006"/>
      <c r="X267" s="917">
        <f>IFERROR(기업명!CE179,"")</f>
        <v>0</v>
      </c>
      <c r="Y267" s="918"/>
    </row>
    <row r="268" spans="2:25" ht="17.100000000000001" customHeight="1">
      <c r="B268" s="921"/>
      <c r="C268" s="950"/>
      <c r="D268" s="950"/>
      <c r="E268" s="950"/>
      <c r="F268" s="950"/>
      <c r="G268" s="950"/>
      <c r="H268" s="954"/>
      <c r="I268" s="955"/>
      <c r="J268" s="955"/>
      <c r="K268" s="956"/>
      <c r="L268" s="954"/>
      <c r="M268" s="955"/>
      <c r="N268" s="955"/>
      <c r="O268" s="956"/>
      <c r="P268" s="960"/>
      <c r="Q268" s="961"/>
      <c r="R268" s="961"/>
      <c r="S268" s="962"/>
      <c r="T268" s="928"/>
      <c r="U268" s="929"/>
      <c r="V268" s="1006"/>
      <c r="W268" s="1006"/>
      <c r="X268" s="919"/>
      <c r="Y268" s="920"/>
    </row>
    <row r="269" spans="2:25" ht="17.100000000000001" customHeight="1">
      <c r="B269" s="921">
        <f>SUM($B$243:B268)+1</f>
        <v>8192</v>
      </c>
      <c r="C269" s="950" t="str">
        <f>IFERROR(기업명!BW180,"")</f>
        <v/>
      </c>
      <c r="D269" s="950"/>
      <c r="E269" s="950" t="str">
        <f>IFERROR(기업명!BX180,"")</f>
        <v/>
      </c>
      <c r="F269" s="950"/>
      <c r="G269" s="950"/>
      <c r="H269" s="951" t="str">
        <f>IFERROR(기업명!BY180 &amp; 기업명!CB180,"")</f>
        <v/>
      </c>
      <c r="I269" s="952"/>
      <c r="J269" s="952"/>
      <c r="K269" s="953"/>
      <c r="L269" s="951" t="str">
        <f>IFERROR(기업명!BZ180 &amp; 기업명!CB180,"")</f>
        <v/>
      </c>
      <c r="M269" s="952"/>
      <c r="N269" s="952"/>
      <c r="O269" s="953"/>
      <c r="P269" s="957" t="str">
        <f>IFERROR(기업명!CA180 &amp; 기업명!CB180,"")</f>
        <v/>
      </c>
      <c r="Q269" s="958"/>
      <c r="R269" s="958"/>
      <c r="S269" s="959"/>
      <c r="T269" s="926" t="str">
        <f>IFERROR(기업명!CC180,"")</f>
        <v/>
      </c>
      <c r="U269" s="927"/>
      <c r="V269" s="1006" t="str">
        <f>IFERROR(기업명!CD180,"")</f>
        <v/>
      </c>
      <c r="W269" s="1006"/>
      <c r="X269" s="917" t="str">
        <f>IFERROR(기업명!CE180,"")</f>
        <v/>
      </c>
      <c r="Y269" s="918"/>
    </row>
    <row r="270" spans="2:25" ht="17.100000000000001" customHeight="1">
      <c r="B270" s="921"/>
      <c r="C270" s="950"/>
      <c r="D270" s="950"/>
      <c r="E270" s="950"/>
      <c r="F270" s="950"/>
      <c r="G270" s="950"/>
      <c r="H270" s="954"/>
      <c r="I270" s="955"/>
      <c r="J270" s="955"/>
      <c r="K270" s="956"/>
      <c r="L270" s="954"/>
      <c r="M270" s="955"/>
      <c r="N270" s="955"/>
      <c r="O270" s="956"/>
      <c r="P270" s="960"/>
      <c r="Q270" s="961"/>
      <c r="R270" s="961"/>
      <c r="S270" s="962"/>
      <c r="T270" s="928"/>
      <c r="U270" s="929"/>
      <c r="V270" s="1006"/>
      <c r="W270" s="1006"/>
      <c r="X270" s="919"/>
      <c r="Y270" s="920"/>
    </row>
    <row r="271" spans="2:25" ht="17.100000000000001" customHeight="1">
      <c r="B271" s="921">
        <f>SUM($B$243:B270)+1</f>
        <v>16384</v>
      </c>
      <c r="C271" s="950" t="str">
        <f>IFERROR(기업명!BW181,"")</f>
        <v/>
      </c>
      <c r="D271" s="950"/>
      <c r="E271" s="950" t="str">
        <f>IFERROR(기업명!BX181,"")</f>
        <v/>
      </c>
      <c r="F271" s="950"/>
      <c r="G271" s="950"/>
      <c r="H271" s="951" t="str">
        <f>IFERROR(기업명!BY181 &amp; 기업명!CB181,"")</f>
        <v/>
      </c>
      <c r="I271" s="952"/>
      <c r="J271" s="952"/>
      <c r="K271" s="953"/>
      <c r="L271" s="951" t="str">
        <f>IFERROR(기업명!BZ181 &amp; 기업명!CB181,"")</f>
        <v/>
      </c>
      <c r="M271" s="952"/>
      <c r="N271" s="952"/>
      <c r="O271" s="953"/>
      <c r="P271" s="957" t="str">
        <f>IFERROR(기업명!CA181 &amp; 기업명!CB181,"")</f>
        <v/>
      </c>
      <c r="Q271" s="958"/>
      <c r="R271" s="958"/>
      <c r="S271" s="959"/>
      <c r="T271" s="926" t="str">
        <f>IFERROR(기업명!CC181,"")</f>
        <v/>
      </c>
      <c r="U271" s="927"/>
      <c r="V271" s="1006" t="str">
        <f>IFERROR(기업명!CD181,"")</f>
        <v/>
      </c>
      <c r="W271" s="1006"/>
      <c r="X271" s="917" t="str">
        <f>IFERROR(기업명!CE181,"")</f>
        <v/>
      </c>
      <c r="Y271" s="918"/>
    </row>
    <row r="272" spans="2:25" ht="17.100000000000001" customHeight="1">
      <c r="B272" s="921"/>
      <c r="C272" s="950"/>
      <c r="D272" s="950"/>
      <c r="E272" s="950"/>
      <c r="F272" s="950"/>
      <c r="G272" s="950"/>
      <c r="H272" s="954"/>
      <c r="I272" s="955"/>
      <c r="J272" s="955"/>
      <c r="K272" s="956"/>
      <c r="L272" s="954"/>
      <c r="M272" s="955"/>
      <c r="N272" s="955"/>
      <c r="O272" s="956"/>
      <c r="P272" s="960"/>
      <c r="Q272" s="961"/>
      <c r="R272" s="961"/>
      <c r="S272" s="962"/>
      <c r="T272" s="928"/>
      <c r="U272" s="929"/>
      <c r="V272" s="1006"/>
      <c r="W272" s="1006"/>
      <c r="X272" s="919"/>
      <c r="Y272" s="920"/>
    </row>
    <row r="273" spans="2:25" ht="17.100000000000001" customHeight="1">
      <c r="B273" s="921">
        <f>SUM($B$243:B272)+1</f>
        <v>32768</v>
      </c>
      <c r="C273" s="950" t="str">
        <f>IFERROR(기업명!BW182,"")</f>
        <v/>
      </c>
      <c r="D273" s="950"/>
      <c r="E273" s="950" t="str">
        <f>IFERROR(기업명!BX182,"")</f>
        <v/>
      </c>
      <c r="F273" s="950"/>
      <c r="G273" s="950"/>
      <c r="H273" s="951" t="str">
        <f>IFERROR(기업명!BY182 &amp; 기업명!CB182,"")</f>
        <v/>
      </c>
      <c r="I273" s="952"/>
      <c r="J273" s="952"/>
      <c r="K273" s="953"/>
      <c r="L273" s="951" t="str">
        <f>IFERROR(기업명!BZ182 &amp; 기업명!CB182,"")</f>
        <v/>
      </c>
      <c r="M273" s="952"/>
      <c r="N273" s="952"/>
      <c r="O273" s="953"/>
      <c r="P273" s="957" t="str">
        <f>IFERROR(기업명!CA182 &amp; 기업명!CB182,"")</f>
        <v/>
      </c>
      <c r="Q273" s="958"/>
      <c r="R273" s="958"/>
      <c r="S273" s="959"/>
      <c r="T273" s="926" t="str">
        <f>IFERROR(기업명!CC182,"")</f>
        <v/>
      </c>
      <c r="U273" s="927"/>
      <c r="V273" s="1006" t="str">
        <f>IFERROR(기업명!CD182,"")</f>
        <v/>
      </c>
      <c r="W273" s="1006"/>
      <c r="X273" s="917" t="str">
        <f>IFERROR(기업명!CE182,"")</f>
        <v/>
      </c>
      <c r="Y273" s="918"/>
    </row>
    <row r="274" spans="2:25" ht="17.100000000000001" customHeight="1">
      <c r="B274" s="921"/>
      <c r="C274" s="950"/>
      <c r="D274" s="950"/>
      <c r="E274" s="950"/>
      <c r="F274" s="950"/>
      <c r="G274" s="950"/>
      <c r="H274" s="954"/>
      <c r="I274" s="955"/>
      <c r="J274" s="955"/>
      <c r="K274" s="956"/>
      <c r="L274" s="954"/>
      <c r="M274" s="955"/>
      <c r="N274" s="955"/>
      <c r="O274" s="956"/>
      <c r="P274" s="960"/>
      <c r="Q274" s="961"/>
      <c r="R274" s="961"/>
      <c r="S274" s="962"/>
      <c r="T274" s="928"/>
      <c r="U274" s="929"/>
      <c r="V274" s="1006"/>
      <c r="W274" s="1006"/>
      <c r="X274" s="919"/>
      <c r="Y274" s="920"/>
    </row>
    <row r="275" spans="2:25" ht="17.100000000000001" customHeight="1">
      <c r="B275" s="921">
        <f>SUM($B$243:B274)+1</f>
        <v>65536</v>
      </c>
      <c r="C275" s="950" t="str">
        <f>IFERROR(기업명!BW183,"")</f>
        <v/>
      </c>
      <c r="D275" s="950"/>
      <c r="E275" s="950" t="str">
        <f>IFERROR(기업명!BX183,"")</f>
        <v/>
      </c>
      <c r="F275" s="950"/>
      <c r="G275" s="950"/>
      <c r="H275" s="951" t="str">
        <f>IFERROR(기업명!BY183 &amp; 기업명!CB183,"")</f>
        <v/>
      </c>
      <c r="I275" s="952"/>
      <c r="J275" s="952"/>
      <c r="K275" s="953"/>
      <c r="L275" s="951" t="str">
        <f>IFERROR(기업명!BZ183 &amp; 기업명!CB183,"")</f>
        <v/>
      </c>
      <c r="M275" s="952"/>
      <c r="N275" s="952"/>
      <c r="O275" s="953"/>
      <c r="P275" s="957" t="str">
        <f>IFERROR(기업명!CA183 &amp; 기업명!CB183,"")</f>
        <v/>
      </c>
      <c r="Q275" s="958"/>
      <c r="R275" s="958"/>
      <c r="S275" s="959"/>
      <c r="T275" s="926" t="str">
        <f>IFERROR(기업명!CC183,"")</f>
        <v/>
      </c>
      <c r="U275" s="927"/>
      <c r="V275" s="1006" t="str">
        <f>IFERROR(기업명!CD183,"")</f>
        <v/>
      </c>
      <c r="W275" s="1006"/>
      <c r="X275" s="917" t="str">
        <f>IFERROR(기업명!CE183,"")</f>
        <v/>
      </c>
      <c r="Y275" s="918"/>
    </row>
    <row r="276" spans="2:25" ht="17.100000000000001" customHeight="1">
      <c r="B276" s="921"/>
      <c r="C276" s="950"/>
      <c r="D276" s="950"/>
      <c r="E276" s="950"/>
      <c r="F276" s="950"/>
      <c r="G276" s="950"/>
      <c r="H276" s="954"/>
      <c r="I276" s="955"/>
      <c r="J276" s="955"/>
      <c r="K276" s="956"/>
      <c r="L276" s="954"/>
      <c r="M276" s="955"/>
      <c r="N276" s="955"/>
      <c r="O276" s="956"/>
      <c r="P276" s="960"/>
      <c r="Q276" s="961"/>
      <c r="R276" s="961"/>
      <c r="S276" s="962"/>
      <c r="T276" s="928"/>
      <c r="U276" s="929"/>
      <c r="V276" s="1006"/>
      <c r="W276" s="1006"/>
      <c r="X276" s="919"/>
      <c r="Y276" s="920"/>
    </row>
    <row r="277" spans="2:25" ht="17.100000000000001" customHeight="1">
      <c r="B277" s="921">
        <f>SUM($B$243:B276)+1</f>
        <v>131072</v>
      </c>
      <c r="C277" s="950" t="str">
        <f>IFERROR(기업명!BW184,"")</f>
        <v/>
      </c>
      <c r="D277" s="950"/>
      <c r="E277" s="950" t="str">
        <f>IFERROR(기업명!BX184,"")</f>
        <v/>
      </c>
      <c r="F277" s="950"/>
      <c r="G277" s="950"/>
      <c r="H277" s="951" t="str">
        <f>IFERROR(기업명!BY184 &amp; 기업명!CB184,"")</f>
        <v/>
      </c>
      <c r="I277" s="952"/>
      <c r="J277" s="952"/>
      <c r="K277" s="953"/>
      <c r="L277" s="951" t="str">
        <f>IFERROR(기업명!BZ184 &amp; 기업명!CB184,"")</f>
        <v/>
      </c>
      <c r="M277" s="952"/>
      <c r="N277" s="952"/>
      <c r="O277" s="953"/>
      <c r="P277" s="957" t="str">
        <f>IFERROR(기업명!CA184 &amp; 기업명!CB184,"")</f>
        <v/>
      </c>
      <c r="Q277" s="958"/>
      <c r="R277" s="958"/>
      <c r="S277" s="959"/>
      <c r="T277" s="926" t="str">
        <f>IFERROR(기업명!CC184,"")</f>
        <v/>
      </c>
      <c r="U277" s="927"/>
      <c r="V277" s="1006" t="str">
        <f>IFERROR(기업명!CD184,"")</f>
        <v/>
      </c>
      <c r="W277" s="1006"/>
      <c r="X277" s="917" t="str">
        <f>IFERROR(기업명!CE184,"")</f>
        <v/>
      </c>
      <c r="Y277" s="918"/>
    </row>
    <row r="278" spans="2:25" ht="17.100000000000001" customHeight="1">
      <c r="B278" s="921"/>
      <c r="C278" s="950"/>
      <c r="D278" s="950"/>
      <c r="E278" s="950"/>
      <c r="F278" s="950"/>
      <c r="G278" s="950"/>
      <c r="H278" s="954"/>
      <c r="I278" s="955"/>
      <c r="J278" s="955"/>
      <c r="K278" s="956"/>
      <c r="L278" s="954"/>
      <c r="M278" s="955"/>
      <c r="N278" s="955"/>
      <c r="O278" s="956"/>
      <c r="P278" s="960"/>
      <c r="Q278" s="961"/>
      <c r="R278" s="961"/>
      <c r="S278" s="962"/>
      <c r="T278" s="928"/>
      <c r="U278" s="929"/>
      <c r="V278" s="1006"/>
      <c r="W278" s="1006"/>
      <c r="X278" s="919"/>
      <c r="Y278" s="920"/>
    </row>
    <row r="279" spans="2:25" ht="17.100000000000001" customHeight="1">
      <c r="B279" s="921">
        <f>SUM($B$243:B278)+1</f>
        <v>262144</v>
      </c>
      <c r="C279" s="922" t="str">
        <f>IFERROR(기업명!BW185,"")</f>
        <v/>
      </c>
      <c r="D279" s="923"/>
      <c r="E279" s="922" t="str">
        <f>IFERROR(기업명!BX185,"")</f>
        <v/>
      </c>
      <c r="F279" s="948"/>
      <c r="G279" s="923"/>
      <c r="H279" s="942" t="str">
        <f>IFERROR(기업명!BY185 &amp; 기업명!CB185,"")</f>
        <v/>
      </c>
      <c r="I279" s="943"/>
      <c r="J279" s="943"/>
      <c r="K279" s="944"/>
      <c r="L279" s="942" t="str">
        <f>IFERROR(기업명!BZ185 &amp; 기업명!CB185,"")</f>
        <v/>
      </c>
      <c r="M279" s="943"/>
      <c r="N279" s="943"/>
      <c r="O279" s="944"/>
      <c r="P279" s="930" t="str">
        <f>IFERROR(기업명!CA185 &amp; 기업명!CB185,"")</f>
        <v/>
      </c>
      <c r="Q279" s="931"/>
      <c r="R279" s="931"/>
      <c r="S279" s="932"/>
      <c r="T279" s="926" t="str">
        <f>IFERROR(기업명!CC185,"")</f>
        <v/>
      </c>
      <c r="U279" s="927"/>
      <c r="V279" s="917" t="str">
        <f>IFERROR(기업명!CD185,"")</f>
        <v/>
      </c>
      <c r="W279" s="918"/>
      <c r="X279" s="917" t="str">
        <f>IFERROR(기업명!CE185,"")</f>
        <v/>
      </c>
      <c r="Y279" s="918"/>
    </row>
    <row r="280" spans="2:25" ht="17.100000000000001" customHeight="1">
      <c r="B280" s="921"/>
      <c r="C280" s="924"/>
      <c r="D280" s="925"/>
      <c r="E280" s="924"/>
      <c r="F280" s="949"/>
      <c r="G280" s="925"/>
      <c r="H280" s="945"/>
      <c r="I280" s="946"/>
      <c r="J280" s="946"/>
      <c r="K280" s="947"/>
      <c r="L280" s="945"/>
      <c r="M280" s="946"/>
      <c r="N280" s="946"/>
      <c r="O280" s="947"/>
      <c r="P280" s="933"/>
      <c r="Q280" s="934"/>
      <c r="R280" s="934"/>
      <c r="S280" s="935"/>
      <c r="T280" s="928"/>
      <c r="U280" s="929"/>
      <c r="V280" s="919"/>
      <c r="W280" s="920"/>
      <c r="X280" s="919"/>
      <c r="Y280" s="920"/>
    </row>
    <row r="281" spans="2:25" ht="17.100000000000001" customHeight="1">
      <c r="B281" s="921">
        <f>SUM($B$243:B280)+1</f>
        <v>524288</v>
      </c>
      <c r="C281" s="922" t="str">
        <f>IFERROR(기업명!BW186,"")</f>
        <v/>
      </c>
      <c r="D281" s="923"/>
      <c r="E281" s="922" t="str">
        <f>IFERROR(기업명!BX186,"")</f>
        <v/>
      </c>
      <c r="F281" s="948"/>
      <c r="G281" s="923"/>
      <c r="H281" s="942" t="str">
        <f>IFERROR(기업명!BY186 &amp; 기업명!CB186,"")</f>
        <v/>
      </c>
      <c r="I281" s="943"/>
      <c r="J281" s="943"/>
      <c r="K281" s="944"/>
      <c r="L281" s="942" t="str">
        <f>IFERROR(기업명!BZ186 &amp; 기업명!CB186,"")</f>
        <v/>
      </c>
      <c r="M281" s="943"/>
      <c r="N281" s="943"/>
      <c r="O281" s="944"/>
      <c r="P281" s="930" t="str">
        <f>IFERROR(기업명!CA186 &amp; 기업명!CB186,"")</f>
        <v/>
      </c>
      <c r="Q281" s="931"/>
      <c r="R281" s="931"/>
      <c r="S281" s="932"/>
      <c r="T281" s="926" t="str">
        <f>IFERROR(기업명!CC186,"")</f>
        <v/>
      </c>
      <c r="U281" s="927"/>
      <c r="V281" s="917" t="str">
        <f>IFERROR(기업명!CD186,"")</f>
        <v/>
      </c>
      <c r="W281" s="918"/>
      <c r="X281" s="917" t="str">
        <f>IFERROR(기업명!CE186,"")</f>
        <v/>
      </c>
      <c r="Y281" s="918"/>
    </row>
    <row r="282" spans="2:25" ht="17.100000000000001" customHeight="1">
      <c r="B282" s="921"/>
      <c r="C282" s="924"/>
      <c r="D282" s="925"/>
      <c r="E282" s="924"/>
      <c r="F282" s="949"/>
      <c r="G282" s="925"/>
      <c r="H282" s="945"/>
      <c r="I282" s="946"/>
      <c r="J282" s="946"/>
      <c r="K282" s="947"/>
      <c r="L282" s="945"/>
      <c r="M282" s="946"/>
      <c r="N282" s="946"/>
      <c r="O282" s="947"/>
      <c r="P282" s="933"/>
      <c r="Q282" s="934"/>
      <c r="R282" s="934"/>
      <c r="S282" s="935"/>
      <c r="T282" s="928"/>
      <c r="U282" s="929"/>
      <c r="V282" s="919"/>
      <c r="W282" s="920"/>
      <c r="X282" s="919"/>
      <c r="Y282" s="920"/>
    </row>
    <row r="283" spans="2:25" ht="17.100000000000001" customHeight="1">
      <c r="B283" s="921">
        <f>SUM($B$243:B282)+1</f>
        <v>1048576</v>
      </c>
      <c r="C283" s="922" t="str">
        <f>IFERROR(기업명!BW187,"")</f>
        <v/>
      </c>
      <c r="D283" s="923"/>
      <c r="E283" s="922" t="str">
        <f>IFERROR(기업명!BX187,"")</f>
        <v/>
      </c>
      <c r="F283" s="948"/>
      <c r="G283" s="923"/>
      <c r="H283" s="942" t="str">
        <f>IFERROR(기업명!BY187 &amp; 기업명!CB187,"")</f>
        <v/>
      </c>
      <c r="I283" s="943"/>
      <c r="J283" s="943"/>
      <c r="K283" s="944"/>
      <c r="L283" s="942" t="str">
        <f>IFERROR(기업명!BZ187 &amp; 기업명!CB187,"")</f>
        <v/>
      </c>
      <c r="M283" s="943"/>
      <c r="N283" s="943"/>
      <c r="O283" s="944"/>
      <c r="P283" s="930" t="str">
        <f>IFERROR(기업명!CA187 &amp; 기업명!CB187,"")</f>
        <v/>
      </c>
      <c r="Q283" s="931"/>
      <c r="R283" s="931"/>
      <c r="S283" s="932"/>
      <c r="T283" s="926" t="str">
        <f>IFERROR(기업명!CC187,"")</f>
        <v/>
      </c>
      <c r="U283" s="927"/>
      <c r="V283" s="917" t="str">
        <f>IFERROR(기업명!CD187,"")</f>
        <v/>
      </c>
      <c r="W283" s="918"/>
      <c r="X283" s="917" t="str">
        <f>IFERROR(기업명!CE187,"")</f>
        <v/>
      </c>
      <c r="Y283" s="918"/>
    </row>
    <row r="284" spans="2:25" ht="17.100000000000001" customHeight="1">
      <c r="B284" s="921"/>
      <c r="C284" s="924"/>
      <c r="D284" s="925"/>
      <c r="E284" s="924"/>
      <c r="F284" s="949"/>
      <c r="G284" s="925"/>
      <c r="H284" s="945"/>
      <c r="I284" s="946"/>
      <c r="J284" s="946"/>
      <c r="K284" s="947"/>
      <c r="L284" s="945"/>
      <c r="M284" s="946"/>
      <c r="N284" s="946"/>
      <c r="O284" s="947"/>
      <c r="P284" s="933"/>
      <c r="Q284" s="934"/>
      <c r="R284" s="934"/>
      <c r="S284" s="935"/>
      <c r="T284" s="928"/>
      <c r="U284" s="929"/>
      <c r="V284" s="919"/>
      <c r="W284" s="920"/>
      <c r="X284" s="919"/>
      <c r="Y284" s="920"/>
    </row>
    <row r="285" spans="2:25" ht="17.100000000000001" customHeight="1">
      <c r="B285" s="921">
        <f>SUM($B$243:B284)+1</f>
        <v>2097152</v>
      </c>
      <c r="C285" s="922" t="str">
        <f>IFERROR(기업명!BW188,"")</f>
        <v/>
      </c>
      <c r="D285" s="923"/>
      <c r="E285" s="922" t="str">
        <f>IFERROR(기업명!BX188,"")</f>
        <v/>
      </c>
      <c r="F285" s="948"/>
      <c r="G285" s="923"/>
      <c r="H285" s="942" t="str">
        <f>IFERROR(기업명!BY188 &amp; 기업명!CB188,"")</f>
        <v/>
      </c>
      <c r="I285" s="943"/>
      <c r="J285" s="943"/>
      <c r="K285" s="944"/>
      <c r="L285" s="942" t="str">
        <f>IFERROR(기업명!BZ188 &amp; 기업명!CB188,"")</f>
        <v/>
      </c>
      <c r="M285" s="943"/>
      <c r="N285" s="943"/>
      <c r="O285" s="944"/>
      <c r="P285" s="930" t="str">
        <f>IFERROR(기업명!CA188 &amp; 기업명!CB188,"")</f>
        <v/>
      </c>
      <c r="Q285" s="931"/>
      <c r="R285" s="931"/>
      <c r="S285" s="932"/>
      <c r="T285" s="926" t="str">
        <f>IFERROR(기업명!CC188,"")</f>
        <v/>
      </c>
      <c r="U285" s="927"/>
      <c r="V285" s="917" t="str">
        <f>IFERROR(기업명!CD188,"")</f>
        <v/>
      </c>
      <c r="W285" s="918"/>
      <c r="X285" s="917" t="str">
        <f>IFERROR(기업명!CE188,"")</f>
        <v/>
      </c>
      <c r="Y285" s="918"/>
    </row>
    <row r="286" spans="2:25" ht="17.100000000000001" customHeight="1">
      <c r="B286" s="921"/>
      <c r="C286" s="924"/>
      <c r="D286" s="925"/>
      <c r="E286" s="924"/>
      <c r="F286" s="949"/>
      <c r="G286" s="925"/>
      <c r="H286" s="945"/>
      <c r="I286" s="946"/>
      <c r="J286" s="946"/>
      <c r="K286" s="947"/>
      <c r="L286" s="945"/>
      <c r="M286" s="946"/>
      <c r="N286" s="946"/>
      <c r="O286" s="947"/>
      <c r="P286" s="933"/>
      <c r="Q286" s="934"/>
      <c r="R286" s="934"/>
      <c r="S286" s="935"/>
      <c r="T286" s="928"/>
      <c r="U286" s="929"/>
      <c r="V286" s="919"/>
      <c r="W286" s="920"/>
      <c r="X286" s="919"/>
      <c r="Y286" s="920"/>
    </row>
    <row r="287" spans="2:25" ht="17.100000000000001" customHeight="1">
      <c r="B287" s="921">
        <f>SUM($B$243:B286)+1</f>
        <v>4194304</v>
      </c>
      <c r="C287" s="922" t="str">
        <f>IFERROR(기업명!BW189,"")</f>
        <v/>
      </c>
      <c r="D287" s="923"/>
      <c r="E287" s="922" t="str">
        <f>IFERROR(기업명!BX189,"")</f>
        <v/>
      </c>
      <c r="F287" s="948"/>
      <c r="G287" s="923"/>
      <c r="H287" s="942" t="str">
        <f>IFERROR(기업명!BY189 &amp; 기업명!CB189,"")</f>
        <v/>
      </c>
      <c r="I287" s="943"/>
      <c r="J287" s="943"/>
      <c r="K287" s="944"/>
      <c r="L287" s="936" t="str">
        <f>IFERROR(기업명!BZ189 &amp; 기업명!CB189,"")</f>
        <v/>
      </c>
      <c r="M287" s="937"/>
      <c r="N287" s="937"/>
      <c r="O287" s="938"/>
      <c r="P287" s="930" t="str">
        <f>IFERROR(기업명!CA189 &amp; 기업명!CB189,"")</f>
        <v/>
      </c>
      <c r="Q287" s="931"/>
      <c r="R287" s="931"/>
      <c r="S287" s="932"/>
      <c r="T287" s="926" t="str">
        <f>IFERROR(기업명!CC189,"")</f>
        <v/>
      </c>
      <c r="U287" s="927"/>
      <c r="V287" s="917" t="str">
        <f>IFERROR(기업명!CD189,"")</f>
        <v/>
      </c>
      <c r="W287" s="918"/>
      <c r="X287" s="917" t="str">
        <f>IFERROR(기업명!CE189,"")</f>
        <v/>
      </c>
      <c r="Y287" s="918"/>
    </row>
    <row r="288" spans="2:25" ht="17.100000000000001" customHeight="1">
      <c r="B288" s="921"/>
      <c r="C288" s="924"/>
      <c r="D288" s="925"/>
      <c r="E288" s="924"/>
      <c r="F288" s="949"/>
      <c r="G288" s="925"/>
      <c r="H288" s="945"/>
      <c r="I288" s="946"/>
      <c r="J288" s="946"/>
      <c r="K288" s="947"/>
      <c r="L288" s="939"/>
      <c r="M288" s="940"/>
      <c r="N288" s="940"/>
      <c r="O288" s="941"/>
      <c r="P288" s="933"/>
      <c r="Q288" s="934"/>
      <c r="R288" s="934"/>
      <c r="S288" s="935"/>
      <c r="T288" s="928"/>
      <c r="U288" s="929"/>
      <c r="V288" s="919"/>
      <c r="W288" s="920"/>
      <c r="X288" s="919"/>
      <c r="Y288" s="920"/>
    </row>
    <row r="289" spans="2:25" ht="17.100000000000001" customHeight="1">
      <c r="B289" s="921">
        <f>SUM($B$243:B288)+1</f>
        <v>8388608</v>
      </c>
      <c r="C289" s="922" t="str">
        <f>IFERROR(기업명!BW190,"")</f>
        <v/>
      </c>
      <c r="D289" s="923"/>
      <c r="E289" s="922" t="str">
        <f>IFERROR(기업명!BX190,"")</f>
        <v/>
      </c>
      <c r="F289" s="948"/>
      <c r="G289" s="923"/>
      <c r="H289" s="942" t="str">
        <f>IFERROR(기업명!BY190 &amp; 기업명!CB190,"")</f>
        <v/>
      </c>
      <c r="I289" s="943"/>
      <c r="J289" s="943"/>
      <c r="K289" s="944"/>
      <c r="L289" s="942" t="str">
        <f>IFERROR(기업명!BZ190 &amp; 기업명!CB190,"")</f>
        <v/>
      </c>
      <c r="M289" s="943"/>
      <c r="N289" s="943"/>
      <c r="O289" s="944"/>
      <c r="P289" s="930" t="str">
        <f>IFERROR(기업명!CA190 &amp; 기업명!CB190,"")</f>
        <v/>
      </c>
      <c r="Q289" s="931"/>
      <c r="R289" s="931"/>
      <c r="S289" s="932"/>
      <c r="T289" s="926" t="str">
        <f>IFERROR(기업명!CC190,"")</f>
        <v/>
      </c>
      <c r="U289" s="927"/>
      <c r="V289" s="917" t="str">
        <f>IFERROR(기업명!CD190,"")</f>
        <v/>
      </c>
      <c r="W289" s="918"/>
      <c r="X289" s="917" t="str">
        <f>IFERROR(기업명!CE190,"")</f>
        <v/>
      </c>
      <c r="Y289" s="918"/>
    </row>
    <row r="290" spans="2:25" ht="17.100000000000001" customHeight="1">
      <c r="B290" s="921"/>
      <c r="C290" s="924"/>
      <c r="D290" s="925"/>
      <c r="E290" s="924"/>
      <c r="F290" s="949"/>
      <c r="G290" s="925"/>
      <c r="H290" s="945"/>
      <c r="I290" s="946"/>
      <c r="J290" s="946"/>
      <c r="K290" s="947"/>
      <c r="L290" s="945"/>
      <c r="M290" s="946"/>
      <c r="N290" s="946"/>
      <c r="O290" s="947"/>
      <c r="P290" s="933"/>
      <c r="Q290" s="934"/>
      <c r="R290" s="934"/>
      <c r="S290" s="935"/>
      <c r="T290" s="928"/>
      <c r="U290" s="929"/>
      <c r="V290" s="919"/>
      <c r="W290" s="920"/>
      <c r="X290" s="919"/>
      <c r="Y290" s="920"/>
    </row>
    <row r="291" spans="2:25" ht="17.100000000000001" customHeight="1">
      <c r="B291" s="921">
        <f>SUM($B$243:B290)+1</f>
        <v>16777216</v>
      </c>
      <c r="C291" s="922" t="str">
        <f>IFERROR(기업명!BW191,"")</f>
        <v/>
      </c>
      <c r="D291" s="923"/>
      <c r="E291" s="922" t="str">
        <f>IFERROR(기업명!BX191,"")</f>
        <v/>
      </c>
      <c r="F291" s="948"/>
      <c r="G291" s="923"/>
      <c r="H291" s="942" t="str">
        <f>IFERROR(기업명!BY191 &amp; 기업명!CB191,"")</f>
        <v/>
      </c>
      <c r="I291" s="943"/>
      <c r="J291" s="943"/>
      <c r="K291" s="944"/>
      <c r="L291" s="936" t="str">
        <f>IFERROR(기업명!BZ191 &amp; 기업명!CB191,"")</f>
        <v/>
      </c>
      <c r="M291" s="937"/>
      <c r="N291" s="937"/>
      <c r="O291" s="938"/>
      <c r="P291" s="930" t="str">
        <f>IFERROR(기업명!CA191 &amp; 기업명!CB191,"")</f>
        <v/>
      </c>
      <c r="Q291" s="931"/>
      <c r="R291" s="931"/>
      <c r="S291" s="932"/>
      <c r="T291" s="926" t="str">
        <f>IFERROR(기업명!CC191,"")</f>
        <v/>
      </c>
      <c r="U291" s="927"/>
      <c r="V291" s="917" t="str">
        <f>IFERROR(기업명!CD191,"")</f>
        <v/>
      </c>
      <c r="W291" s="918"/>
      <c r="X291" s="917" t="str">
        <f>IFERROR(기업명!CE191,"")</f>
        <v/>
      </c>
      <c r="Y291" s="918"/>
    </row>
    <row r="292" spans="2:25" ht="17.100000000000001" customHeight="1">
      <c r="B292" s="921"/>
      <c r="C292" s="924"/>
      <c r="D292" s="925"/>
      <c r="E292" s="924"/>
      <c r="F292" s="949"/>
      <c r="G292" s="925"/>
      <c r="H292" s="945"/>
      <c r="I292" s="946"/>
      <c r="J292" s="946"/>
      <c r="K292" s="947"/>
      <c r="L292" s="939"/>
      <c r="M292" s="940"/>
      <c r="N292" s="940"/>
      <c r="O292" s="941"/>
      <c r="P292" s="933"/>
      <c r="Q292" s="934"/>
      <c r="R292" s="934"/>
      <c r="S292" s="935"/>
      <c r="T292" s="928"/>
      <c r="U292" s="929"/>
      <c r="V292" s="919"/>
      <c r="W292" s="920"/>
      <c r="X292" s="919"/>
      <c r="Y292" s="920"/>
    </row>
    <row r="293" spans="2:25" ht="17.100000000000001" customHeight="1">
      <c r="B293" s="921">
        <f>SUM($B$243:B292)+1</f>
        <v>33554432</v>
      </c>
      <c r="C293" s="922" t="str">
        <f>IFERROR(기업명!BW192,"")</f>
        <v/>
      </c>
      <c r="D293" s="923"/>
      <c r="E293" s="922" t="str">
        <f>IFERROR(기업명!BX192,"")</f>
        <v/>
      </c>
      <c r="F293" s="948"/>
      <c r="G293" s="923"/>
      <c r="H293" s="942" t="str">
        <f>IFERROR(기업명!BY192 &amp; 기업명!CB192,"")</f>
        <v/>
      </c>
      <c r="I293" s="943"/>
      <c r="J293" s="943"/>
      <c r="K293" s="944"/>
      <c r="L293" s="942" t="str">
        <f>IFERROR(기업명!BZ192 &amp; 기업명!CB192,"")</f>
        <v/>
      </c>
      <c r="M293" s="943"/>
      <c r="N293" s="943"/>
      <c r="O293" s="944"/>
      <c r="P293" s="930" t="str">
        <f>IFERROR(기업명!CA192 &amp; 기업명!CB192,"")</f>
        <v/>
      </c>
      <c r="Q293" s="931"/>
      <c r="R293" s="931"/>
      <c r="S293" s="932"/>
      <c r="T293" s="926" t="str">
        <f>IFERROR(기업명!CC192,"")</f>
        <v/>
      </c>
      <c r="U293" s="927"/>
      <c r="V293" s="917" t="str">
        <f>IFERROR(기업명!CD192,"")</f>
        <v/>
      </c>
      <c r="W293" s="918"/>
      <c r="X293" s="917" t="str">
        <f>IFERROR(기업명!CE192,"")</f>
        <v/>
      </c>
      <c r="Y293" s="918"/>
    </row>
    <row r="294" spans="2:25" ht="17.100000000000001" customHeight="1">
      <c r="B294" s="921"/>
      <c r="C294" s="924"/>
      <c r="D294" s="925"/>
      <c r="E294" s="924"/>
      <c r="F294" s="949"/>
      <c r="G294" s="925"/>
      <c r="H294" s="945"/>
      <c r="I294" s="946"/>
      <c r="J294" s="946"/>
      <c r="K294" s="947"/>
      <c r="L294" s="945"/>
      <c r="M294" s="946"/>
      <c r="N294" s="946"/>
      <c r="O294" s="947"/>
      <c r="P294" s="933"/>
      <c r="Q294" s="934"/>
      <c r="R294" s="934"/>
      <c r="S294" s="935"/>
      <c r="T294" s="928"/>
      <c r="U294" s="929"/>
      <c r="V294" s="919"/>
      <c r="W294" s="920"/>
      <c r="X294" s="919"/>
      <c r="Y294" s="920"/>
    </row>
    <row r="295" spans="2:25" ht="17.100000000000001" customHeight="1">
      <c r="B295" s="921">
        <f>SUM($B$243:B294)+1</f>
        <v>67108864</v>
      </c>
      <c r="C295" s="922" t="str">
        <f>IFERROR(기업명!BW193,"")</f>
        <v/>
      </c>
      <c r="D295" s="923"/>
      <c r="E295" s="922" t="str">
        <f>IFERROR(기업명!BX193,"")</f>
        <v/>
      </c>
      <c r="F295" s="948"/>
      <c r="G295" s="923"/>
      <c r="H295" s="942" t="str">
        <f>IFERROR(기업명!BY193 &amp; 기업명!CB193,"")</f>
        <v/>
      </c>
      <c r="I295" s="943"/>
      <c r="J295" s="943"/>
      <c r="K295" s="944"/>
      <c r="L295" s="936" t="str">
        <f>IFERROR(기업명!BZ193 &amp; 기업명!CB193,"")</f>
        <v/>
      </c>
      <c r="M295" s="937"/>
      <c r="N295" s="937"/>
      <c r="O295" s="938"/>
      <c r="P295" s="930" t="str">
        <f>IFERROR(기업명!CA193 &amp; 기업명!CB193,"")</f>
        <v/>
      </c>
      <c r="Q295" s="931"/>
      <c r="R295" s="931"/>
      <c r="S295" s="932"/>
      <c r="T295" s="926" t="str">
        <f>IFERROR(기업명!CC193,"")</f>
        <v/>
      </c>
      <c r="U295" s="927"/>
      <c r="V295" s="917" t="str">
        <f>IFERROR(기업명!CD193,"")</f>
        <v/>
      </c>
      <c r="W295" s="918"/>
      <c r="X295" s="917" t="str">
        <f>IFERROR(기업명!CE193,"")</f>
        <v/>
      </c>
      <c r="Y295" s="918"/>
    </row>
    <row r="296" spans="2:25" ht="17.100000000000001" customHeight="1">
      <c r="B296" s="921"/>
      <c r="C296" s="924"/>
      <c r="D296" s="925"/>
      <c r="E296" s="924"/>
      <c r="F296" s="949"/>
      <c r="G296" s="925"/>
      <c r="H296" s="945"/>
      <c r="I296" s="946"/>
      <c r="J296" s="946"/>
      <c r="K296" s="947"/>
      <c r="L296" s="939"/>
      <c r="M296" s="940"/>
      <c r="N296" s="940"/>
      <c r="O296" s="941"/>
      <c r="P296" s="933"/>
      <c r="Q296" s="934"/>
      <c r="R296" s="934"/>
      <c r="S296" s="935"/>
      <c r="T296" s="928"/>
      <c r="U296" s="929"/>
      <c r="V296" s="919"/>
      <c r="W296" s="920"/>
      <c r="X296" s="919"/>
      <c r="Y296" s="920"/>
    </row>
    <row r="297" spans="2:25" ht="17.100000000000001" customHeight="1">
      <c r="B297" s="921">
        <f>SUM($B$243:B296)+1</f>
        <v>134217728</v>
      </c>
      <c r="C297" s="922" t="str">
        <f>IFERROR(기업명!BW194,"")</f>
        <v/>
      </c>
      <c r="D297" s="923"/>
      <c r="E297" s="922" t="str">
        <f>IFERROR(기업명!BX194,"")</f>
        <v/>
      </c>
      <c r="F297" s="948"/>
      <c r="G297" s="923"/>
      <c r="H297" s="942" t="str">
        <f>IFERROR(기업명!BY194 &amp; 기업명!CB194,"")</f>
        <v/>
      </c>
      <c r="I297" s="943"/>
      <c r="J297" s="943"/>
      <c r="K297" s="944"/>
      <c r="L297" s="942" t="str">
        <f>IFERROR(기업명!BZ194 &amp; 기업명!CB194,"")</f>
        <v/>
      </c>
      <c r="M297" s="943"/>
      <c r="N297" s="943"/>
      <c r="O297" s="944"/>
      <c r="P297" s="930" t="str">
        <f>IFERROR(기업명!CA194 &amp; 기업명!CB194,"")</f>
        <v/>
      </c>
      <c r="Q297" s="931"/>
      <c r="R297" s="931"/>
      <c r="S297" s="932"/>
      <c r="T297" s="926" t="str">
        <f>IFERROR(기업명!CC194,"")</f>
        <v/>
      </c>
      <c r="U297" s="927"/>
      <c r="V297" s="917" t="str">
        <f>IFERROR(기업명!CD194,"")</f>
        <v/>
      </c>
      <c r="W297" s="918"/>
      <c r="X297" s="917" t="str">
        <f>IFERROR(기업명!CE194,"")</f>
        <v/>
      </c>
      <c r="Y297" s="918"/>
    </row>
    <row r="298" spans="2:25" ht="17.100000000000001" customHeight="1">
      <c r="B298" s="921"/>
      <c r="C298" s="924"/>
      <c r="D298" s="925"/>
      <c r="E298" s="924"/>
      <c r="F298" s="949"/>
      <c r="G298" s="925"/>
      <c r="H298" s="945"/>
      <c r="I298" s="946"/>
      <c r="J298" s="946"/>
      <c r="K298" s="947"/>
      <c r="L298" s="945"/>
      <c r="M298" s="946"/>
      <c r="N298" s="946"/>
      <c r="O298" s="947"/>
      <c r="P298" s="933"/>
      <c r="Q298" s="934"/>
      <c r="R298" s="934"/>
      <c r="S298" s="935"/>
      <c r="T298" s="928"/>
      <c r="U298" s="929"/>
      <c r="V298" s="919"/>
      <c r="W298" s="920"/>
      <c r="X298" s="919"/>
      <c r="Y298" s="920"/>
    </row>
    <row r="299" spans="2:25" ht="17.100000000000001" customHeight="1">
      <c r="B299" s="921">
        <f>SUM($B$243:B298)+1</f>
        <v>268435456</v>
      </c>
      <c r="C299" s="922" t="str">
        <f>IFERROR(기업명!BW195,"")</f>
        <v/>
      </c>
      <c r="D299" s="923"/>
      <c r="E299" s="922" t="str">
        <f>IFERROR(기업명!BX195,"")</f>
        <v/>
      </c>
      <c r="F299" s="948"/>
      <c r="G299" s="923"/>
      <c r="H299" s="942" t="str">
        <f>IFERROR(기업명!BY195 &amp; 기업명!CB195,"")</f>
        <v/>
      </c>
      <c r="I299" s="943"/>
      <c r="J299" s="943"/>
      <c r="K299" s="944"/>
      <c r="L299" s="936" t="str">
        <f>IFERROR(기업명!BZ195 &amp; 기업명!CB195,"")</f>
        <v/>
      </c>
      <c r="M299" s="937"/>
      <c r="N299" s="937"/>
      <c r="O299" s="938"/>
      <c r="P299" s="930" t="str">
        <f>IFERROR(기업명!CA195 &amp; 기업명!CB195,"")</f>
        <v/>
      </c>
      <c r="Q299" s="931"/>
      <c r="R299" s="931"/>
      <c r="S299" s="932"/>
      <c r="T299" s="926" t="str">
        <f>IFERROR(기업명!CC195,"")</f>
        <v/>
      </c>
      <c r="U299" s="927"/>
      <c r="V299" s="917" t="str">
        <f>IFERROR(기업명!CD195,"")</f>
        <v/>
      </c>
      <c r="W299" s="918"/>
      <c r="X299" s="917" t="str">
        <f>IFERROR(기업명!CE195,"")</f>
        <v/>
      </c>
      <c r="Y299" s="918"/>
    </row>
    <row r="300" spans="2:25" ht="17.100000000000001" customHeight="1">
      <c r="B300" s="921"/>
      <c r="C300" s="924"/>
      <c r="D300" s="925"/>
      <c r="E300" s="924"/>
      <c r="F300" s="949"/>
      <c r="G300" s="925"/>
      <c r="H300" s="945"/>
      <c r="I300" s="946"/>
      <c r="J300" s="946"/>
      <c r="K300" s="947"/>
      <c r="L300" s="939"/>
      <c r="M300" s="940"/>
      <c r="N300" s="940"/>
      <c r="O300" s="941"/>
      <c r="P300" s="933"/>
      <c r="Q300" s="934"/>
      <c r="R300" s="934"/>
      <c r="S300" s="935"/>
      <c r="T300" s="928"/>
      <c r="U300" s="929"/>
      <c r="V300" s="919"/>
      <c r="W300" s="920"/>
      <c r="X300" s="919"/>
      <c r="Y300" s="920"/>
    </row>
    <row r="301" spans="2:25" ht="17.100000000000001" customHeight="1">
      <c r="B301" s="921">
        <f>SUM($B$243:B300)+1</f>
        <v>536870912</v>
      </c>
      <c r="C301" s="922" t="str">
        <f>IFERROR(기업명!BW196,"")</f>
        <v/>
      </c>
      <c r="D301" s="923"/>
      <c r="E301" s="922" t="str">
        <f>IFERROR(기업명!BX196,"")</f>
        <v/>
      </c>
      <c r="F301" s="948"/>
      <c r="G301" s="923"/>
      <c r="H301" s="942" t="str">
        <f>IFERROR(기업명!BY196 &amp; 기업명!CB196,"")</f>
        <v/>
      </c>
      <c r="I301" s="943"/>
      <c r="J301" s="943"/>
      <c r="K301" s="944"/>
      <c r="L301" s="942" t="str">
        <f>IFERROR(기업명!BZ196 &amp; 기업명!CB196,"")</f>
        <v/>
      </c>
      <c r="M301" s="943"/>
      <c r="N301" s="943"/>
      <c r="O301" s="944"/>
      <c r="P301" s="930" t="str">
        <f>IFERROR(기업명!CA196 &amp; 기업명!CB196,"")</f>
        <v/>
      </c>
      <c r="Q301" s="931"/>
      <c r="R301" s="931"/>
      <c r="S301" s="932"/>
      <c r="T301" s="926" t="str">
        <f>IFERROR(기업명!CC196,"")</f>
        <v/>
      </c>
      <c r="U301" s="927"/>
      <c r="V301" s="917" t="str">
        <f>IFERROR(기업명!CD196,"")</f>
        <v/>
      </c>
      <c r="W301" s="918"/>
      <c r="X301" s="917" t="str">
        <f>IFERROR(기업명!CE196,"")</f>
        <v/>
      </c>
      <c r="Y301" s="918"/>
    </row>
    <row r="302" spans="2:25" ht="17.100000000000001" customHeight="1">
      <c r="B302" s="921"/>
      <c r="C302" s="924"/>
      <c r="D302" s="925"/>
      <c r="E302" s="924"/>
      <c r="F302" s="949"/>
      <c r="G302" s="925"/>
      <c r="H302" s="945"/>
      <c r="I302" s="946"/>
      <c r="J302" s="946"/>
      <c r="K302" s="947"/>
      <c r="L302" s="945"/>
      <c r="M302" s="946"/>
      <c r="N302" s="946"/>
      <c r="O302" s="947"/>
      <c r="P302" s="933"/>
      <c r="Q302" s="934"/>
      <c r="R302" s="934"/>
      <c r="S302" s="935"/>
      <c r="T302" s="928"/>
      <c r="U302" s="929"/>
      <c r="V302" s="919"/>
      <c r="W302" s="920"/>
      <c r="X302" s="919"/>
      <c r="Y302" s="920"/>
    </row>
    <row r="303" spans="2:25" ht="17.100000000000001" customHeight="1">
      <c r="C303" s="1"/>
      <c r="D303" s="1"/>
      <c r="E303" s="1"/>
      <c r="F303" s="1"/>
      <c r="G303" s="1"/>
      <c r="H303" s="1"/>
      <c r="I303" s="1"/>
      <c r="J303" s="1"/>
      <c r="K303" s="1"/>
      <c r="L303" s="1"/>
      <c r="M303" s="1"/>
      <c r="N303" s="1"/>
      <c r="O303" s="1"/>
      <c r="P303" s="1"/>
      <c r="Q303" s="1"/>
      <c r="R303" s="1"/>
      <c r="S303" s="1"/>
      <c r="T303" s="1"/>
      <c r="U303" s="1"/>
      <c r="V303" s="1"/>
      <c r="W303" s="1"/>
      <c r="X303" s="1"/>
      <c r="Y303" s="1"/>
    </row>
    <row r="304" spans="2:25" ht="17.100000000000001" customHeight="1">
      <c r="C304" s="1"/>
      <c r="D304" s="1"/>
      <c r="E304" s="1"/>
      <c r="F304" s="1"/>
      <c r="G304" s="1"/>
      <c r="H304" s="1"/>
      <c r="I304" s="1"/>
      <c r="J304" s="1"/>
      <c r="K304" s="1"/>
      <c r="L304" s="1"/>
      <c r="M304" s="1"/>
      <c r="N304" s="1"/>
      <c r="O304" s="1"/>
      <c r="P304" s="1"/>
      <c r="Q304" s="1"/>
      <c r="R304" s="1"/>
      <c r="S304" s="1"/>
      <c r="T304" s="1"/>
      <c r="U304" s="1"/>
      <c r="V304" s="1"/>
      <c r="W304" s="1"/>
      <c r="X304" s="1"/>
      <c r="Y304" s="1"/>
    </row>
    <row r="305" spans="3:25" ht="17.100000000000001" customHeight="1">
      <c r="C305" s="1"/>
      <c r="D305" s="1"/>
      <c r="E305" s="1"/>
      <c r="F305" s="1"/>
      <c r="G305" s="1"/>
      <c r="H305" s="1"/>
      <c r="I305" s="1"/>
      <c r="J305" s="1"/>
      <c r="K305" s="1"/>
      <c r="L305" s="1"/>
      <c r="M305" s="1"/>
      <c r="N305" s="1"/>
      <c r="O305" s="1"/>
      <c r="P305" s="1"/>
      <c r="Q305" s="1"/>
      <c r="R305" s="1"/>
      <c r="S305" s="1"/>
      <c r="T305" s="1"/>
      <c r="U305" s="1"/>
      <c r="V305" s="1"/>
      <c r="W305" s="1"/>
      <c r="X305" s="1"/>
      <c r="Y305" s="1"/>
    </row>
    <row r="306" spans="3:25" ht="17.100000000000001" customHeight="1">
      <c r="C306" s="1"/>
      <c r="D306" s="1"/>
      <c r="E306" s="1"/>
      <c r="F306" s="1"/>
      <c r="G306" s="1"/>
      <c r="H306" s="1"/>
      <c r="I306" s="1"/>
      <c r="J306" s="1"/>
      <c r="K306" s="1"/>
      <c r="L306" s="1"/>
      <c r="M306" s="1"/>
      <c r="N306" s="1"/>
      <c r="O306" s="1"/>
      <c r="P306" s="1"/>
      <c r="Q306" s="1"/>
      <c r="R306" s="1"/>
      <c r="S306" s="1"/>
      <c r="T306" s="1"/>
      <c r="U306" s="1"/>
      <c r="V306" s="1"/>
      <c r="W306" s="1"/>
      <c r="X306" s="1"/>
      <c r="Y306" s="1"/>
    </row>
    <row r="307" spans="3:25" ht="17.100000000000001" customHeight="1">
      <c r="C307" s="1"/>
      <c r="D307" s="1"/>
      <c r="E307" s="1"/>
      <c r="F307" s="1"/>
      <c r="G307" s="1"/>
      <c r="H307" s="1"/>
      <c r="I307" s="1"/>
      <c r="J307" s="1"/>
      <c r="K307" s="1"/>
      <c r="L307" s="1"/>
      <c r="M307" s="1"/>
      <c r="N307" s="1"/>
      <c r="O307" s="1"/>
      <c r="P307" s="1"/>
      <c r="Q307" s="1"/>
      <c r="R307" s="1"/>
      <c r="S307" s="1"/>
      <c r="T307" s="1"/>
      <c r="U307" s="1"/>
      <c r="V307" s="1"/>
      <c r="W307" s="1"/>
      <c r="X307" s="1"/>
      <c r="Y307" s="1"/>
    </row>
    <row r="308" spans="3:25" ht="17.100000000000001" customHeight="1">
      <c r="C308" s="1"/>
      <c r="D308" s="1"/>
      <c r="E308" s="1"/>
      <c r="F308" s="1"/>
      <c r="G308" s="1"/>
      <c r="H308" s="1"/>
      <c r="I308" s="1"/>
      <c r="J308" s="1"/>
      <c r="K308" s="1"/>
      <c r="L308" s="1"/>
      <c r="M308" s="1"/>
      <c r="N308" s="1"/>
      <c r="O308" s="1"/>
      <c r="P308" s="1"/>
      <c r="Q308" s="1"/>
      <c r="R308" s="1"/>
      <c r="S308" s="1"/>
      <c r="T308" s="1"/>
      <c r="U308" s="1"/>
      <c r="V308" s="1"/>
      <c r="W308" s="1"/>
      <c r="X308" s="1"/>
      <c r="Y308" s="1"/>
    </row>
    <row r="309" spans="3:25" ht="17.100000000000001" customHeight="1">
      <c r="C309" s="1"/>
      <c r="D309" s="1"/>
      <c r="E309" s="1"/>
      <c r="F309" s="1"/>
      <c r="G309" s="1"/>
      <c r="H309" s="1"/>
      <c r="I309" s="1"/>
      <c r="J309" s="1"/>
      <c r="K309" s="1"/>
      <c r="L309" s="1"/>
      <c r="M309" s="1"/>
      <c r="N309" s="1"/>
      <c r="O309" s="1"/>
      <c r="P309" s="1"/>
      <c r="Q309" s="1"/>
      <c r="R309" s="1"/>
      <c r="S309" s="1"/>
      <c r="T309" s="1"/>
      <c r="U309" s="1"/>
      <c r="V309" s="1"/>
      <c r="W309" s="1"/>
      <c r="X309" s="1"/>
      <c r="Y309" s="1"/>
    </row>
    <row r="310" spans="3:25" ht="17.100000000000001" customHeight="1">
      <c r="C310" s="1"/>
      <c r="D310" s="1"/>
      <c r="E310" s="1"/>
      <c r="F310" s="1"/>
      <c r="G310" s="1"/>
      <c r="H310" s="1"/>
      <c r="I310" s="1"/>
      <c r="J310" s="1"/>
      <c r="K310" s="1"/>
      <c r="L310" s="1"/>
      <c r="M310" s="1"/>
      <c r="N310" s="1"/>
      <c r="O310" s="1"/>
      <c r="P310" s="1"/>
      <c r="Q310" s="1"/>
      <c r="R310" s="1"/>
      <c r="S310" s="1"/>
      <c r="T310" s="1"/>
      <c r="U310" s="1"/>
      <c r="V310" s="1"/>
      <c r="W310" s="1"/>
      <c r="X310" s="1"/>
      <c r="Y310" s="1"/>
    </row>
    <row r="311" spans="3:25" ht="17.100000000000001" customHeight="1">
      <c r="C311" s="1"/>
      <c r="D311" s="1"/>
      <c r="E311" s="1"/>
      <c r="F311" s="1"/>
      <c r="G311" s="1"/>
      <c r="H311" s="1"/>
      <c r="I311" s="1"/>
      <c r="J311" s="1"/>
      <c r="K311" s="1"/>
      <c r="L311" s="1"/>
      <c r="M311" s="1"/>
      <c r="N311" s="1"/>
      <c r="O311" s="1"/>
      <c r="P311" s="1"/>
      <c r="Q311" s="1"/>
      <c r="R311" s="1"/>
      <c r="S311" s="1"/>
      <c r="T311" s="1"/>
      <c r="U311" s="1"/>
      <c r="V311" s="1"/>
      <c r="W311" s="1"/>
      <c r="X311" s="1"/>
      <c r="Y311" s="1"/>
    </row>
    <row r="312" spans="3:25" ht="17.100000000000001" customHeight="1">
      <c r="C312" s="1"/>
      <c r="D312" s="1"/>
      <c r="E312" s="1"/>
      <c r="F312" s="1"/>
      <c r="G312" s="1"/>
      <c r="H312" s="1"/>
      <c r="I312" s="1"/>
      <c r="J312" s="1"/>
      <c r="K312" s="1"/>
      <c r="L312" s="1"/>
      <c r="M312" s="1"/>
      <c r="N312" s="1"/>
      <c r="O312" s="1"/>
      <c r="P312" s="1"/>
      <c r="Q312" s="1"/>
      <c r="R312" s="1"/>
      <c r="S312" s="1"/>
      <c r="T312" s="1"/>
      <c r="U312" s="1"/>
      <c r="V312" s="1"/>
      <c r="W312" s="1"/>
      <c r="X312" s="1"/>
      <c r="Y312" s="1"/>
    </row>
    <row r="313" spans="3:25" ht="17.100000000000001" customHeight="1">
      <c r="C313" s="1"/>
      <c r="D313" s="1"/>
      <c r="E313" s="1"/>
      <c r="F313" s="1"/>
      <c r="G313" s="1"/>
      <c r="H313" s="1"/>
      <c r="I313" s="1"/>
      <c r="J313" s="1"/>
      <c r="K313" s="1"/>
      <c r="L313" s="1"/>
      <c r="M313" s="1"/>
      <c r="N313" s="1"/>
      <c r="O313" s="1"/>
      <c r="P313" s="1"/>
      <c r="Q313" s="1"/>
      <c r="R313" s="1"/>
      <c r="S313" s="1"/>
      <c r="T313" s="1"/>
      <c r="U313" s="1"/>
      <c r="V313" s="1"/>
      <c r="W313" s="1"/>
      <c r="X313" s="1"/>
      <c r="Y313" s="1"/>
    </row>
    <row r="314" spans="3:25" ht="17.100000000000001" customHeight="1">
      <c r="C314" s="1"/>
      <c r="D314" s="1"/>
      <c r="E314" s="1"/>
      <c r="F314" s="1"/>
      <c r="G314" s="1"/>
      <c r="H314" s="1"/>
      <c r="I314" s="1"/>
      <c r="J314" s="1"/>
      <c r="K314" s="1"/>
      <c r="L314" s="1"/>
      <c r="M314" s="1"/>
      <c r="N314" s="1"/>
      <c r="O314" s="1"/>
      <c r="P314" s="1"/>
      <c r="Q314" s="1"/>
      <c r="R314" s="1"/>
      <c r="S314" s="1"/>
      <c r="T314" s="1"/>
      <c r="U314" s="1"/>
      <c r="V314" s="1"/>
      <c r="W314" s="1"/>
      <c r="X314" s="1"/>
      <c r="Y314" s="1"/>
    </row>
    <row r="315" spans="3:25" ht="17.100000000000001" customHeight="1">
      <c r="C315" s="1"/>
      <c r="D315" s="1"/>
      <c r="E315" s="1"/>
      <c r="F315" s="1"/>
      <c r="G315" s="1"/>
      <c r="H315" s="1"/>
      <c r="I315" s="1"/>
      <c r="J315" s="1"/>
      <c r="K315" s="1"/>
      <c r="L315" s="1"/>
      <c r="M315" s="1"/>
      <c r="N315" s="1"/>
      <c r="O315" s="1"/>
      <c r="P315" s="1"/>
      <c r="Q315" s="1"/>
      <c r="R315" s="1"/>
      <c r="S315" s="1"/>
      <c r="T315" s="1"/>
      <c r="U315" s="1"/>
      <c r="V315" s="1"/>
      <c r="W315" s="1"/>
      <c r="X315" s="1"/>
      <c r="Y315" s="1"/>
    </row>
    <row r="316" spans="3:25" ht="17.100000000000001" customHeight="1">
      <c r="C316" s="1"/>
      <c r="D316" s="1"/>
      <c r="E316" s="1"/>
      <c r="F316" s="1"/>
      <c r="G316" s="1"/>
      <c r="H316" s="1"/>
      <c r="I316" s="1"/>
      <c r="J316" s="1"/>
      <c r="K316" s="1"/>
      <c r="L316" s="1"/>
      <c r="M316" s="1"/>
      <c r="N316" s="1"/>
      <c r="O316" s="1"/>
      <c r="P316" s="1"/>
      <c r="Q316" s="1"/>
      <c r="R316" s="1"/>
      <c r="S316" s="1"/>
      <c r="T316" s="1"/>
      <c r="U316" s="1"/>
      <c r="V316" s="1"/>
      <c r="W316" s="1"/>
      <c r="X316" s="1"/>
      <c r="Y316" s="1"/>
    </row>
    <row r="317" spans="3:25" ht="17.100000000000001" customHeight="1">
      <c r="C317" s="1"/>
      <c r="D317" s="1"/>
      <c r="E317" s="1"/>
      <c r="F317" s="1"/>
      <c r="G317" s="1"/>
      <c r="H317" s="1"/>
      <c r="I317" s="1"/>
      <c r="J317" s="1"/>
      <c r="K317" s="1"/>
      <c r="L317" s="1"/>
      <c r="M317" s="1"/>
      <c r="N317" s="1"/>
      <c r="O317" s="1"/>
      <c r="P317" s="1"/>
      <c r="Q317" s="1"/>
      <c r="R317" s="1"/>
      <c r="S317" s="1"/>
      <c r="T317" s="1"/>
      <c r="U317" s="1"/>
      <c r="V317" s="1"/>
      <c r="W317" s="1"/>
      <c r="X317" s="1"/>
      <c r="Y317" s="1"/>
    </row>
    <row r="318" spans="3:25" ht="17.100000000000001" customHeight="1">
      <c r="C318" s="1"/>
      <c r="D318" s="1"/>
      <c r="E318" s="1"/>
      <c r="F318" s="1"/>
      <c r="G318" s="1"/>
      <c r="H318" s="1"/>
      <c r="I318" s="1"/>
      <c r="J318" s="1"/>
      <c r="K318" s="1"/>
      <c r="L318" s="1"/>
      <c r="M318" s="1"/>
      <c r="N318" s="1"/>
      <c r="O318" s="1"/>
      <c r="P318" s="1"/>
      <c r="Q318" s="1"/>
      <c r="R318" s="1"/>
      <c r="S318" s="1"/>
      <c r="T318" s="1"/>
      <c r="U318" s="1"/>
      <c r="V318" s="1"/>
      <c r="W318" s="1"/>
      <c r="X318" s="1"/>
      <c r="Y318" s="1"/>
    </row>
    <row r="319" spans="3:25" ht="17.100000000000001" customHeight="1">
      <c r="C319" s="1"/>
      <c r="D319" s="1"/>
      <c r="E319" s="1"/>
      <c r="F319" s="1"/>
      <c r="G319" s="1"/>
      <c r="H319" s="1"/>
      <c r="I319" s="1"/>
      <c r="J319" s="1"/>
      <c r="K319" s="1"/>
      <c r="L319" s="1"/>
      <c r="M319" s="1"/>
      <c r="N319" s="1"/>
      <c r="O319" s="1"/>
      <c r="P319" s="1"/>
      <c r="Q319" s="1"/>
      <c r="R319" s="1"/>
      <c r="S319" s="1"/>
      <c r="T319" s="1"/>
      <c r="U319" s="1"/>
      <c r="V319" s="1"/>
      <c r="W319" s="1"/>
      <c r="X319" s="1"/>
      <c r="Y319" s="1"/>
    </row>
    <row r="320" spans="3:25" ht="17.100000000000001" customHeight="1">
      <c r="C320" s="1"/>
      <c r="D320" s="1"/>
      <c r="E320" s="1"/>
      <c r="F320" s="1"/>
      <c r="G320" s="1"/>
      <c r="H320" s="1"/>
      <c r="I320" s="1"/>
      <c r="J320" s="1"/>
      <c r="K320" s="1"/>
      <c r="L320" s="1"/>
      <c r="M320" s="1"/>
      <c r="N320" s="1"/>
      <c r="O320" s="1"/>
      <c r="P320" s="1"/>
      <c r="Q320" s="1"/>
      <c r="R320" s="1"/>
      <c r="S320" s="1"/>
      <c r="T320" s="1"/>
      <c r="U320" s="1"/>
      <c r="V320" s="1"/>
      <c r="W320" s="1"/>
      <c r="X320" s="1"/>
      <c r="Y320" s="1"/>
    </row>
    <row r="321" spans="2:26" ht="17.100000000000001" customHeight="1">
      <c r="C321" s="1"/>
      <c r="D321" s="1"/>
      <c r="E321" s="1"/>
      <c r="F321" s="1"/>
      <c r="G321" s="1"/>
      <c r="H321" s="1"/>
      <c r="I321" s="1"/>
      <c r="J321" s="1"/>
      <c r="K321" s="1"/>
      <c r="L321" s="1"/>
      <c r="M321" s="1"/>
      <c r="N321" s="1"/>
      <c r="O321" s="1"/>
      <c r="P321" s="1"/>
      <c r="Q321" s="1"/>
      <c r="R321" s="1"/>
      <c r="S321" s="1"/>
      <c r="T321" s="1"/>
      <c r="U321" s="1"/>
      <c r="V321" s="1"/>
      <c r="W321" s="1"/>
      <c r="X321" s="1"/>
      <c r="Y321" s="1"/>
    </row>
    <row r="322" spans="2:26" ht="17.100000000000001" customHeight="1">
      <c r="C322" s="1"/>
      <c r="D322" s="1"/>
      <c r="E322" s="1"/>
      <c r="F322" s="1"/>
      <c r="G322" s="1"/>
      <c r="H322" s="1"/>
      <c r="I322" s="1"/>
      <c r="J322" s="1"/>
      <c r="K322" s="1"/>
      <c r="L322" s="1"/>
      <c r="M322" s="1"/>
      <c r="N322" s="1"/>
      <c r="O322" s="1"/>
      <c r="P322" s="1"/>
      <c r="Q322" s="1"/>
      <c r="R322" s="1"/>
      <c r="S322" s="1"/>
      <c r="T322" s="1"/>
      <c r="U322" s="1"/>
      <c r="V322" s="1"/>
      <c r="W322" s="1"/>
      <c r="X322" s="1"/>
      <c r="Y322" s="1"/>
    </row>
    <row r="323" spans="2:26" ht="17.100000000000001" customHeight="1">
      <c r="C323" s="1"/>
      <c r="D323" s="1"/>
      <c r="E323" s="1"/>
      <c r="F323" s="1"/>
      <c r="G323" s="1"/>
      <c r="H323" s="1"/>
      <c r="I323" s="1"/>
      <c r="J323" s="1"/>
      <c r="K323" s="1"/>
      <c r="L323" s="1"/>
      <c r="M323" s="1"/>
      <c r="N323" s="1"/>
      <c r="O323" s="1"/>
      <c r="P323" s="1"/>
      <c r="Q323" s="1"/>
      <c r="R323" s="1"/>
      <c r="S323" s="1"/>
      <c r="T323" s="1"/>
      <c r="U323" s="1"/>
      <c r="V323" s="1"/>
      <c r="W323" s="1"/>
      <c r="X323" s="1"/>
      <c r="Y323" s="1"/>
    </row>
    <row r="324" spans="2:26" ht="17.100000000000001" customHeight="1" thickBot="1">
      <c r="C324" s="1"/>
      <c r="D324" s="1"/>
      <c r="E324" s="1"/>
      <c r="F324" s="1"/>
      <c r="G324" s="1"/>
      <c r="H324" s="1"/>
      <c r="I324" s="1"/>
      <c r="J324" s="1"/>
      <c r="K324" s="1"/>
      <c r="L324" s="1"/>
      <c r="M324" s="1"/>
      <c r="N324" s="1"/>
      <c r="O324" s="1"/>
      <c r="P324" s="1"/>
      <c r="Q324" s="1"/>
      <c r="R324" s="1"/>
      <c r="S324" s="1"/>
      <c r="T324" s="1"/>
      <c r="U324" s="1"/>
      <c r="V324" s="1"/>
      <c r="W324" s="1"/>
      <c r="X324" s="1"/>
      <c r="Y324" s="1"/>
    </row>
    <row r="325" spans="2:26" ht="24.95" customHeight="1" thickBot="1">
      <c r="B325" s="791" t="s">
        <v>609</v>
      </c>
      <c r="C325" s="792"/>
      <c r="D325" s="793" t="s">
        <v>610</v>
      </c>
      <c r="E325" s="794"/>
      <c r="F325" s="794"/>
      <c r="G325" s="794"/>
      <c r="H325" s="794"/>
      <c r="I325" s="794"/>
      <c r="J325" s="794"/>
      <c r="K325" s="794"/>
    </row>
    <row r="326" spans="2:26" ht="17.100000000000001" customHeight="1"/>
    <row r="327" spans="2:26" ht="17.100000000000001" customHeight="1">
      <c r="B327" s="123" t="s">
        <v>43</v>
      </c>
    </row>
    <row r="328" spans="2:26" ht="17.100000000000001" customHeight="1">
      <c r="V328" s="916" t="s">
        <v>62</v>
      </c>
      <c r="W328" s="916"/>
      <c r="X328" s="916"/>
      <c r="Y328" s="916"/>
    </row>
    <row r="329" spans="2:26" ht="17.100000000000001" customHeight="1">
      <c r="C329" s="977" t="s">
        <v>44</v>
      </c>
      <c r="D329" s="977"/>
      <c r="E329" s="977"/>
      <c r="F329" s="977"/>
      <c r="G329" s="977"/>
      <c r="H329" s="977"/>
      <c r="I329" s="977"/>
      <c r="J329" s="1035" t="s">
        <v>168</v>
      </c>
      <c r="K329" s="977"/>
      <c r="L329" s="977"/>
      <c r="M329" s="977"/>
      <c r="N329" s="977"/>
      <c r="O329" s="977"/>
      <c r="P329" s="977"/>
      <c r="Q329" s="977"/>
      <c r="R329" s="977"/>
      <c r="S329" s="1035" t="s">
        <v>63</v>
      </c>
      <c r="T329" s="977"/>
      <c r="U329" s="977"/>
      <c r="V329" s="977"/>
      <c r="W329" s="977"/>
      <c r="X329" s="977"/>
      <c r="Y329" s="977"/>
    </row>
    <row r="330" spans="2:26" ht="17.100000000000001" customHeight="1">
      <c r="C330" s="977"/>
      <c r="D330" s="977"/>
      <c r="E330" s="977"/>
      <c r="F330" s="977"/>
      <c r="G330" s="977"/>
      <c r="H330" s="977"/>
      <c r="I330" s="977"/>
      <c r="J330" s="977"/>
      <c r="K330" s="977"/>
      <c r="L330" s="977"/>
      <c r="M330" s="977"/>
      <c r="N330" s="977"/>
      <c r="O330" s="977"/>
      <c r="P330" s="977"/>
      <c r="Q330" s="977"/>
      <c r="R330" s="977"/>
      <c r="S330" s="977"/>
      <c r="T330" s="977"/>
      <c r="U330" s="977"/>
      <c r="V330" s="977"/>
      <c r="W330" s="977"/>
      <c r="X330" s="977"/>
      <c r="Y330" s="977"/>
    </row>
    <row r="331" spans="2:26" ht="17.100000000000001" customHeight="1">
      <c r="C331" s="1052">
        <f>기업명!H356</f>
        <v>982400</v>
      </c>
      <c r="D331" s="1052"/>
      <c r="E331" s="1052"/>
      <c r="F331" s="1052"/>
      <c r="G331" s="1052"/>
      <c r="H331" s="1052"/>
      <c r="I331" s="1052"/>
      <c r="J331" s="1052">
        <f>기업명!O356</f>
        <v>491200</v>
      </c>
      <c r="K331" s="1052"/>
      <c r="L331" s="1052"/>
      <c r="M331" s="1052"/>
      <c r="N331" s="1052"/>
      <c r="O331" s="1052"/>
      <c r="P331" s="1052"/>
      <c r="Q331" s="1052"/>
      <c r="R331" s="1052"/>
      <c r="S331" s="1052">
        <f>기업명!X356</f>
        <v>491200</v>
      </c>
      <c r="T331" s="1052"/>
      <c r="U331" s="1052"/>
      <c r="V331" s="1052"/>
      <c r="W331" s="1052"/>
      <c r="X331" s="1052"/>
      <c r="Y331" s="1052"/>
    </row>
    <row r="332" spans="2:26" ht="17.100000000000001" customHeight="1">
      <c r="C332" s="981">
        <f>기업명!H357</f>
        <v>1</v>
      </c>
      <c r="D332" s="981"/>
      <c r="E332" s="981"/>
      <c r="F332" s="981"/>
      <c r="G332" s="981"/>
      <c r="H332" s="981"/>
      <c r="I332" s="981"/>
      <c r="J332" s="981">
        <f>기업명!O357</f>
        <v>0.5</v>
      </c>
      <c r="K332" s="981"/>
      <c r="L332" s="981"/>
      <c r="M332" s="981"/>
      <c r="N332" s="981"/>
      <c r="O332" s="981"/>
      <c r="P332" s="981"/>
      <c r="Q332" s="981"/>
      <c r="R332" s="981"/>
      <c r="S332" s="981">
        <f>기업명!X357</f>
        <v>0.5</v>
      </c>
      <c r="T332" s="981"/>
      <c r="U332" s="981"/>
      <c r="V332" s="981"/>
      <c r="W332" s="981"/>
      <c r="X332" s="981"/>
      <c r="Y332" s="981"/>
    </row>
    <row r="333" spans="2:26" ht="17.100000000000001" customHeight="1"/>
    <row r="334" spans="2:26" ht="17.100000000000001" customHeight="1">
      <c r="B334" s="123" t="s">
        <v>45</v>
      </c>
    </row>
    <row r="335" spans="2:26" ht="17.100000000000001" customHeight="1">
      <c r="W335" s="916" t="s">
        <v>53</v>
      </c>
      <c r="X335" s="916"/>
      <c r="Y335" s="916"/>
      <c r="Z335" s="48"/>
    </row>
    <row r="336" spans="2:26">
      <c r="C336" s="825" t="s">
        <v>230</v>
      </c>
      <c r="D336" s="826"/>
      <c r="E336" s="827"/>
      <c r="F336" s="825" t="s">
        <v>231</v>
      </c>
      <c r="G336" s="826"/>
      <c r="H336" s="827"/>
      <c r="I336" s="977" t="s">
        <v>232</v>
      </c>
      <c r="J336" s="977"/>
      <c r="K336" s="977"/>
      <c r="L336" s="977"/>
      <c r="M336" s="977"/>
      <c r="N336" s="826" t="s">
        <v>233</v>
      </c>
      <c r="O336" s="826"/>
      <c r="P336" s="826"/>
      <c r="Q336" s="826"/>
      <c r="R336" s="826"/>
      <c r="S336" s="826"/>
      <c r="T336" s="826"/>
      <c r="U336" s="826"/>
      <c r="V336" s="827"/>
      <c r="W336" s="826" t="s">
        <v>234</v>
      </c>
      <c r="X336" s="826"/>
      <c r="Y336" s="827"/>
    </row>
    <row r="337" spans="2:25" ht="15.6" customHeight="1">
      <c r="B337" s="51">
        <v>1</v>
      </c>
      <c r="C337" s="834" t="str">
        <f>IFERROR(VLOOKUP($B337,기업명!$H$361:$AE$444,2,0),"")</f>
        <v>유형자산</v>
      </c>
      <c r="D337" s="835"/>
      <c r="E337" s="836"/>
      <c r="F337" s="834" t="str">
        <f>IFERROR(VLOOKUP($B337,기업명!$H$361:$AE$444,4,0),"")</f>
        <v>-</v>
      </c>
      <c r="G337" s="835"/>
      <c r="H337" s="836"/>
      <c r="I337" s="834" t="str">
        <f>IFERROR(VLOOKUP($B337,기업명!$H$361:$AE$444,7,0),"")</f>
        <v>소계</v>
      </c>
      <c r="J337" s="835"/>
      <c r="K337" s="835"/>
      <c r="L337" s="835"/>
      <c r="M337" s="836"/>
      <c r="N337" s="834">
        <f>IFERROR(VLOOKUP($B337,기업명!$H$361:$AE$444,14,0),"")</f>
        <v>0</v>
      </c>
      <c r="O337" s="835"/>
      <c r="P337" s="835"/>
      <c r="Q337" s="835"/>
      <c r="R337" s="835"/>
      <c r="S337" s="835"/>
      <c r="T337" s="835"/>
      <c r="U337" s="835"/>
      <c r="V337" s="836"/>
      <c r="W337" s="1053">
        <f>IFERROR(VLOOKUP($B337,기업명!$H$361:$AE$444,21,0),"")</f>
        <v>0</v>
      </c>
      <c r="X337" s="1054"/>
      <c r="Y337" s="1055"/>
    </row>
    <row r="338" spans="2:25" ht="15.6" customHeight="1">
      <c r="B338" s="51">
        <v>2</v>
      </c>
      <c r="C338" s="834" t="str">
        <f>IFERROR(VLOOKUP($B338,기업명!$H$361:$AE$444,2,0),"")</f>
        <v>건설비</v>
      </c>
      <c r="D338" s="835"/>
      <c r="E338" s="836"/>
      <c r="F338" s="834" t="str">
        <f>IFERROR(VLOOKUP($B338,기업명!$H$361:$AE$444,4,0),"")</f>
        <v>설계비</v>
      </c>
      <c r="G338" s="835"/>
      <c r="H338" s="836"/>
      <c r="I338" s="834" t="str">
        <f>IFERROR(VLOOKUP($B338,기업명!$H$361:$AE$444,7,0),"")</f>
        <v>계</v>
      </c>
      <c r="J338" s="835"/>
      <c r="K338" s="835"/>
      <c r="L338" s="835"/>
      <c r="M338" s="836"/>
      <c r="N338" s="834">
        <f>IFERROR(VLOOKUP($B338,기업명!$H$361:$AE$444,14,0),"")</f>
        <v>0</v>
      </c>
      <c r="O338" s="835"/>
      <c r="P338" s="835"/>
      <c r="Q338" s="835"/>
      <c r="R338" s="835"/>
      <c r="S338" s="835"/>
      <c r="T338" s="835"/>
      <c r="U338" s="835"/>
      <c r="V338" s="836"/>
      <c r="W338" s="1053">
        <f>IFERROR(VLOOKUP($B338,기업명!$H$361:$AE$444,21,0),"")</f>
        <v>0</v>
      </c>
      <c r="X338" s="1054"/>
      <c r="Y338" s="1055"/>
    </row>
    <row r="339" spans="2:25" ht="15.6" customHeight="1">
      <c r="B339" s="51">
        <v>3</v>
      </c>
      <c r="C339" s="834" t="str">
        <f>IFERROR(VLOOKUP($B339,기업명!$H$361:$AE$444,2,0),"")</f>
        <v>건설비</v>
      </c>
      <c r="D339" s="835"/>
      <c r="E339" s="836"/>
      <c r="F339" s="834" t="str">
        <f>IFERROR(VLOOKUP($B339,기업명!$H$361:$AE$444,4,0),"")</f>
        <v>시설비</v>
      </c>
      <c r="G339" s="835"/>
      <c r="H339" s="836"/>
      <c r="I339" s="834" t="str">
        <f>IFERROR(VLOOKUP($B339,기업명!$H$361:$AE$444,7,0),"")</f>
        <v>폼패드 성형공정 온조기 히터시설</v>
      </c>
      <c r="J339" s="835"/>
      <c r="K339" s="835"/>
      <c r="L339" s="835"/>
      <c r="M339" s="836"/>
      <c r="N339" s="834" t="str">
        <f>IFERROR(VLOOKUP($B339,기업명!$H$361:$AE$444,14,0),"")</f>
        <v>폼패드성형공정 온조기 히터시설</v>
      </c>
      <c r="O339" s="835"/>
      <c r="P339" s="835"/>
      <c r="Q339" s="835"/>
      <c r="R339" s="835"/>
      <c r="S339" s="835"/>
      <c r="T339" s="835"/>
      <c r="U339" s="835"/>
      <c r="V339" s="836"/>
      <c r="W339" s="1053">
        <f>IFERROR(VLOOKUP($B339,기업명!$H$361:$AE$444,21,0),"")</f>
        <v>58000</v>
      </c>
      <c r="X339" s="1054"/>
      <c r="Y339" s="1055"/>
    </row>
    <row r="340" spans="2:25" ht="15.6" customHeight="1">
      <c r="B340" s="51">
        <v>4</v>
      </c>
      <c r="C340" s="834" t="str">
        <f>IFERROR(VLOOKUP($B340,기업명!$H$361:$AE$444,2,0),"")</f>
        <v>건설비</v>
      </c>
      <c r="D340" s="835"/>
      <c r="E340" s="836"/>
      <c r="F340" s="834" t="str">
        <f>IFERROR(VLOOKUP($B340,기업명!$H$361:$AE$444,4,0),"")</f>
        <v>시설비</v>
      </c>
      <c r="G340" s="835"/>
      <c r="H340" s="836"/>
      <c r="I340" s="834" t="str">
        <f>IFERROR(VLOOKUP($B340,기업명!$H$361:$AE$444,7,0),"")</f>
        <v>고효율 펌프 가변제어 장치</v>
      </c>
      <c r="J340" s="835"/>
      <c r="K340" s="835"/>
      <c r="L340" s="835"/>
      <c r="M340" s="836"/>
      <c r="N340" s="834" t="str">
        <f>IFERROR(VLOOKUP($B340,기업명!$H$361:$AE$444,14,0),"")</f>
        <v>고효율 펌프 가변제어 장치 설치</v>
      </c>
      <c r="O340" s="835"/>
      <c r="P340" s="835"/>
      <c r="Q340" s="835"/>
      <c r="R340" s="835"/>
      <c r="S340" s="835"/>
      <c r="T340" s="835"/>
      <c r="U340" s="835"/>
      <c r="V340" s="836"/>
      <c r="W340" s="1053">
        <f>IFERROR(VLOOKUP($B340,기업명!$H$361:$AE$444,21,0),"")</f>
        <v>62500</v>
      </c>
      <c r="X340" s="1054"/>
      <c r="Y340" s="1055"/>
    </row>
    <row r="341" spans="2:25" ht="15.6" customHeight="1">
      <c r="B341" s="51">
        <v>5</v>
      </c>
      <c r="C341" s="834" t="str">
        <f>IFERROR(VLOOKUP($B341,기업명!$H$361:$AE$444,2,0),"")</f>
        <v>건설비</v>
      </c>
      <c r="D341" s="835"/>
      <c r="E341" s="836"/>
      <c r="F341" s="834" t="str">
        <f>IFERROR(VLOOKUP($B341,기업명!$H$361:$AE$444,4,0),"")</f>
        <v>시설비</v>
      </c>
      <c r="G341" s="835"/>
      <c r="H341" s="836"/>
      <c r="I341" s="834" t="str">
        <f>IFERROR(VLOOKUP($B341,기업명!$H$361:$AE$444,7,0),"")</f>
        <v>사업성과 모니터링시스템</v>
      </c>
      <c r="J341" s="835"/>
      <c r="K341" s="835"/>
      <c r="L341" s="835"/>
      <c r="M341" s="836"/>
      <c r="N341" s="834" t="str">
        <f>IFERROR(VLOOKUP($B341,기업명!$H$361:$AE$444,14,0),"")</f>
        <v>전력량계 설치</v>
      </c>
      <c r="O341" s="835"/>
      <c r="P341" s="835"/>
      <c r="Q341" s="835"/>
      <c r="R341" s="835"/>
      <c r="S341" s="835"/>
      <c r="T341" s="835"/>
      <c r="U341" s="835"/>
      <c r="V341" s="836"/>
      <c r="W341" s="1053">
        <f>IFERROR(VLOOKUP($B341,기업명!$H$361:$AE$444,21,0),"")</f>
        <v>62000</v>
      </c>
      <c r="X341" s="1054"/>
      <c r="Y341" s="1055"/>
    </row>
    <row r="342" spans="2:25" ht="15.6" customHeight="1">
      <c r="B342" s="51">
        <v>6</v>
      </c>
      <c r="C342" s="834" t="str">
        <f>IFERROR(VLOOKUP($B342,기업명!$H$361:$AE$444,2,0),"")</f>
        <v>건설비</v>
      </c>
      <c r="D342" s="835"/>
      <c r="E342" s="836"/>
      <c r="F342" s="834" t="str">
        <f>IFERROR(VLOOKUP($B342,기업명!$H$361:$AE$444,4,0),"")</f>
        <v>시설비</v>
      </c>
      <c r="G342" s="835"/>
      <c r="H342" s="836"/>
      <c r="I342" s="834" t="str">
        <f>IFERROR(VLOOKUP($B342,기업명!$H$361:$AE$444,7,0),"")</f>
        <v>사업성과 모니터링시스템</v>
      </c>
      <c r="J342" s="835"/>
      <c r="K342" s="835"/>
      <c r="L342" s="835"/>
      <c r="M342" s="836"/>
      <c r="N342" s="834" t="str">
        <f>IFERROR(VLOOKUP($B342,기업명!$H$361:$AE$444,14,0),"")</f>
        <v>모니터링시스템 구축</v>
      </c>
      <c r="O342" s="835"/>
      <c r="P342" s="835"/>
      <c r="Q342" s="835"/>
      <c r="R342" s="835"/>
      <c r="S342" s="835"/>
      <c r="T342" s="835"/>
      <c r="U342" s="835"/>
      <c r="V342" s="836"/>
      <c r="W342" s="1053">
        <f>IFERROR(VLOOKUP($B342,기업명!$H$361:$AE$444,21,0),"")</f>
        <v>101000</v>
      </c>
      <c r="X342" s="1054"/>
      <c r="Y342" s="1055"/>
    </row>
    <row r="343" spans="2:25" ht="15.6" customHeight="1">
      <c r="B343" s="51">
        <v>7</v>
      </c>
      <c r="C343" s="834" t="str">
        <f>IFERROR(VLOOKUP($B343,기업명!$H$361:$AE$444,2,0),"")</f>
        <v>건설비</v>
      </c>
      <c r="D343" s="835"/>
      <c r="E343" s="836"/>
      <c r="F343" s="834" t="str">
        <f>IFERROR(VLOOKUP($B343,기업명!$H$361:$AE$444,4,0),"")</f>
        <v>시설비</v>
      </c>
      <c r="G343" s="835"/>
      <c r="H343" s="836"/>
      <c r="I343" s="834" t="str">
        <f>IFERROR(VLOOKUP($B343,기업명!$H$361:$AE$444,7,0),"")</f>
        <v>고효율 여과 집진시설</v>
      </c>
      <c r="J343" s="835"/>
      <c r="K343" s="835"/>
      <c r="L343" s="835"/>
      <c r="M343" s="836"/>
      <c r="N343" s="834" t="str">
        <f>IFERROR(VLOOKUP($B343,기업명!$H$361:$AE$444,14,0),"")</f>
        <v>900CMM 여과집진기 제작 및 설치</v>
      </c>
      <c r="O343" s="835"/>
      <c r="P343" s="835"/>
      <c r="Q343" s="835"/>
      <c r="R343" s="835"/>
      <c r="S343" s="835"/>
      <c r="T343" s="835"/>
      <c r="U343" s="835"/>
      <c r="V343" s="836"/>
      <c r="W343" s="1053">
        <f>IFERROR(VLOOKUP($B343,기업명!$H$361:$AE$444,21,0),"")</f>
        <v>364000</v>
      </c>
      <c r="X343" s="1054"/>
      <c r="Y343" s="1055"/>
    </row>
    <row r="344" spans="2:25" ht="15.6" customHeight="1">
      <c r="B344" s="51">
        <v>8</v>
      </c>
      <c r="C344" s="834" t="str">
        <f>IFERROR(VLOOKUP($B344,기업명!$H$361:$AE$444,2,0),"")</f>
        <v>건설비</v>
      </c>
      <c r="D344" s="835"/>
      <c r="E344" s="836"/>
      <c r="F344" s="834" t="str">
        <f>IFERROR(VLOOKUP($B344,기업명!$H$361:$AE$444,4,0),"")</f>
        <v>시설비</v>
      </c>
      <c r="G344" s="835"/>
      <c r="H344" s="836"/>
      <c r="I344" s="834" t="str">
        <f>IFERROR(VLOOKUP($B344,기업명!$H$361:$AE$444,7,0),"")</f>
        <v>발포라인 딥러닝 시스템</v>
      </c>
      <c r="J344" s="835"/>
      <c r="K344" s="835"/>
      <c r="L344" s="835"/>
      <c r="M344" s="836"/>
      <c r="N344" s="834" t="str">
        <f>IFERROR(VLOOKUP($B344,기업명!$H$361:$AE$444,14,0),"")</f>
        <v>딥러닝 시스템 구축</v>
      </c>
      <c r="O344" s="835"/>
      <c r="P344" s="835"/>
      <c r="Q344" s="835"/>
      <c r="R344" s="835"/>
      <c r="S344" s="835"/>
      <c r="T344" s="835"/>
      <c r="U344" s="835"/>
      <c r="V344" s="836"/>
      <c r="W344" s="1053">
        <f>IFERROR(VLOOKUP($B344,기업명!$H$361:$AE$444,21,0),"")</f>
        <v>250000</v>
      </c>
      <c r="X344" s="1054"/>
      <c r="Y344" s="1055"/>
    </row>
    <row r="345" spans="2:25" ht="15.6" customHeight="1">
      <c r="B345" s="51">
        <v>9</v>
      </c>
      <c r="C345" s="834" t="str">
        <f>IFERROR(VLOOKUP($B345,기업명!$H$361:$AE$444,2,0),"")</f>
        <v>건설비</v>
      </c>
      <c r="D345" s="835"/>
      <c r="E345" s="836"/>
      <c r="F345" s="834" t="str">
        <f>IFERROR(VLOOKUP($B345,기업명!$H$361:$AE$444,4,0),"")</f>
        <v>시설비</v>
      </c>
      <c r="G345" s="835"/>
      <c r="H345" s="836"/>
      <c r="I345" s="834" t="str">
        <f>IFERROR(VLOOKUP($B345,기업명!$H$361:$AE$444,7,0),"")</f>
        <v>빗물 재이용시설</v>
      </c>
      <c r="J345" s="835"/>
      <c r="K345" s="835"/>
      <c r="L345" s="835"/>
      <c r="M345" s="836"/>
      <c r="N345" s="834" t="str">
        <f>IFERROR(VLOOKUP($B345,기업명!$H$361:$AE$444,14,0),"")</f>
        <v>빗물 재이용시설 구축</v>
      </c>
      <c r="O345" s="835"/>
      <c r="P345" s="835"/>
      <c r="Q345" s="835"/>
      <c r="R345" s="835"/>
      <c r="S345" s="835"/>
      <c r="T345" s="835"/>
      <c r="U345" s="835"/>
      <c r="V345" s="836"/>
      <c r="W345" s="1053">
        <f>IFERROR(VLOOKUP($B345,기업명!$H$361:$AE$444,21,0),"")</f>
        <v>53300</v>
      </c>
      <c r="X345" s="1054"/>
      <c r="Y345" s="1055"/>
    </row>
    <row r="346" spans="2:25" ht="15.6" customHeight="1">
      <c r="B346" s="51">
        <v>10</v>
      </c>
      <c r="C346" s="834" t="str">
        <f>IFERROR(VLOOKUP($B346,기업명!$H$361:$AE$444,2,0),"")</f>
        <v>건설비</v>
      </c>
      <c r="D346" s="835"/>
      <c r="E346" s="836"/>
      <c r="F346" s="834" t="str">
        <f>IFERROR(VLOOKUP($B346,기업명!$H$361:$AE$444,4,0),"")</f>
        <v>시설비</v>
      </c>
      <c r="G346" s="835"/>
      <c r="H346" s="836"/>
      <c r="I346" s="834" t="str">
        <f>IFERROR(VLOOKUP($B346,기업명!$H$361:$AE$444,7,0),"")</f>
        <v>계</v>
      </c>
      <c r="J346" s="835"/>
      <c r="K346" s="835"/>
      <c r="L346" s="835"/>
      <c r="M346" s="836"/>
      <c r="N346" s="834">
        <f>IFERROR(VLOOKUP($B346,기업명!$H$361:$AE$444,14,0),"")</f>
        <v>0</v>
      </c>
      <c r="O346" s="835"/>
      <c r="P346" s="835"/>
      <c r="Q346" s="835"/>
      <c r="R346" s="835"/>
      <c r="S346" s="835"/>
      <c r="T346" s="835"/>
      <c r="U346" s="835"/>
      <c r="V346" s="836"/>
      <c r="W346" s="1053">
        <f>IFERROR(VLOOKUP($B346,기업명!$H$361:$AE$444,21,0),"")</f>
        <v>950800</v>
      </c>
      <c r="X346" s="1054"/>
      <c r="Y346" s="1055"/>
    </row>
    <row r="347" spans="2:25" ht="15.6" customHeight="1">
      <c r="B347" s="51">
        <v>11</v>
      </c>
      <c r="C347" s="834" t="str">
        <f>IFERROR(VLOOKUP($B347,기업명!$H$361:$AE$444,2,0),"")</f>
        <v>건설비</v>
      </c>
      <c r="D347" s="835"/>
      <c r="E347" s="836"/>
      <c r="F347" s="834" t="str">
        <f>IFERROR(VLOOKUP($B347,기업명!$H$361:$AE$444,4,0),"")</f>
        <v>-</v>
      </c>
      <c r="G347" s="835"/>
      <c r="H347" s="836"/>
      <c r="I347" s="834" t="str">
        <f>IFERROR(VLOOKUP($B347,기업명!$H$361:$AE$444,7,0),"")</f>
        <v>소계</v>
      </c>
      <c r="J347" s="835"/>
      <c r="K347" s="835"/>
      <c r="L347" s="835"/>
      <c r="M347" s="836"/>
      <c r="N347" s="834">
        <f>IFERROR(VLOOKUP($B347,기업명!$H$361:$AE$444,14,0),"")</f>
        <v>0</v>
      </c>
      <c r="O347" s="835"/>
      <c r="P347" s="835"/>
      <c r="Q347" s="835"/>
      <c r="R347" s="835"/>
      <c r="S347" s="835"/>
      <c r="T347" s="835"/>
      <c r="U347" s="835"/>
      <c r="V347" s="836"/>
      <c r="W347" s="1053">
        <f>IFERROR(VLOOKUP($B347,기업명!$H$361:$AE$444,21,0),"")</f>
        <v>950800</v>
      </c>
      <c r="X347" s="1054"/>
      <c r="Y347" s="1055"/>
    </row>
    <row r="348" spans="2:25" ht="15.6" customHeight="1">
      <c r="B348" s="51">
        <v>12</v>
      </c>
      <c r="C348" s="834" t="str">
        <f>IFERROR(VLOOKUP($B348,기업명!$H$361:$AE$444,2,0),"")</f>
        <v>운영비</v>
      </c>
      <c r="D348" s="835"/>
      <c r="E348" s="836"/>
      <c r="F348" s="834" t="str">
        <f>IFERROR(VLOOKUP($B348,기업명!$H$361:$AE$444,4,0),"")</f>
        <v>일반용역비</v>
      </c>
      <c r="G348" s="835"/>
      <c r="H348" s="836"/>
      <c r="I348" s="834" t="str">
        <f>IFERROR(VLOOKUP($B348,기업명!$H$361:$AE$444,7,0),"")</f>
        <v>컨설팅</v>
      </c>
      <c r="J348" s="835"/>
      <c r="K348" s="835"/>
      <c r="L348" s="835"/>
      <c r="M348" s="836"/>
      <c r="N348" s="834" t="str">
        <f>IFERROR(VLOOKUP($B348,기업명!$H$361:$AE$444,14,0),"")</f>
        <v>-</v>
      </c>
      <c r="O348" s="835"/>
      <c r="P348" s="835"/>
      <c r="Q348" s="835"/>
      <c r="R348" s="835"/>
      <c r="S348" s="835"/>
      <c r="T348" s="835"/>
      <c r="U348" s="835"/>
      <c r="V348" s="836"/>
      <c r="W348" s="1053">
        <f>IFERROR(VLOOKUP($B348,기업명!$H$361:$AE$444,21,0),"")</f>
        <v>30000</v>
      </c>
      <c r="X348" s="1054"/>
      <c r="Y348" s="1055"/>
    </row>
    <row r="349" spans="2:25" ht="15.6" customHeight="1">
      <c r="B349" s="51">
        <v>13</v>
      </c>
      <c r="C349" s="834" t="str">
        <f>IFERROR(VLOOKUP($B349,기업명!$H$361:$AE$444,2,0),"")</f>
        <v>운영비</v>
      </c>
      <c r="D349" s="835"/>
      <c r="E349" s="836"/>
      <c r="F349" s="834" t="str">
        <f>IFERROR(VLOOKUP($B349,기업명!$H$361:$AE$444,4,0),"")</f>
        <v>일반용역비</v>
      </c>
      <c r="G349" s="835"/>
      <c r="H349" s="836"/>
      <c r="I349" s="834" t="str">
        <f>IFERROR(VLOOKUP($B349,기업명!$H$361:$AE$444,7,0),"")</f>
        <v>정산관련 검증용역</v>
      </c>
      <c r="J349" s="835"/>
      <c r="K349" s="835"/>
      <c r="L349" s="835"/>
      <c r="M349" s="836"/>
      <c r="N349" s="834" t="str">
        <f>IFERROR(VLOOKUP($B349,기업명!$H$361:$AE$444,14,0),"")</f>
        <v>-</v>
      </c>
      <c r="O349" s="835"/>
      <c r="P349" s="835"/>
      <c r="Q349" s="835"/>
      <c r="R349" s="835"/>
      <c r="S349" s="835"/>
      <c r="T349" s="835"/>
      <c r="U349" s="835"/>
      <c r="V349" s="836"/>
      <c r="W349" s="1053">
        <f>IFERROR(VLOOKUP($B349,기업명!$H$361:$AE$444,21,0),"")</f>
        <v>1600</v>
      </c>
      <c r="X349" s="1054"/>
      <c r="Y349" s="1055"/>
    </row>
    <row r="350" spans="2:25" ht="15.6" customHeight="1">
      <c r="B350" s="51">
        <v>14</v>
      </c>
      <c r="C350" s="834" t="str">
        <f>IFERROR(VLOOKUP($B350,기업명!$H$361:$AE$444,2,0),"")</f>
        <v>운영비</v>
      </c>
      <c r="D350" s="835"/>
      <c r="E350" s="836"/>
      <c r="F350" s="834" t="str">
        <f>IFERROR(VLOOKUP($B350,기업명!$H$361:$AE$444,4,0),"")</f>
        <v>일반용역비</v>
      </c>
      <c r="G350" s="835"/>
      <c r="H350" s="836"/>
      <c r="I350" s="834" t="str">
        <f>IFERROR(VLOOKUP($B350,기업명!$H$361:$AE$444,7,0),"")</f>
        <v>계</v>
      </c>
      <c r="J350" s="835"/>
      <c r="K350" s="835"/>
      <c r="L350" s="835"/>
      <c r="M350" s="836"/>
      <c r="N350" s="834">
        <f>IFERROR(VLOOKUP($B350,기업명!$H$361:$AE$444,14,0),"")</f>
        <v>0</v>
      </c>
      <c r="O350" s="835"/>
      <c r="P350" s="835"/>
      <c r="Q350" s="835"/>
      <c r="R350" s="835"/>
      <c r="S350" s="835"/>
      <c r="T350" s="835"/>
      <c r="U350" s="835"/>
      <c r="V350" s="836"/>
      <c r="W350" s="1053">
        <f>IFERROR(VLOOKUP($B350,기업명!$H$361:$AE$444,21,0),"")</f>
        <v>31600</v>
      </c>
      <c r="X350" s="1054"/>
      <c r="Y350" s="1055"/>
    </row>
    <row r="351" spans="2:25" ht="15.6" customHeight="1">
      <c r="B351" s="51">
        <v>15</v>
      </c>
      <c r="C351" s="834" t="str">
        <f>IFERROR(VLOOKUP($B351,기업명!$H$361:$AE$444,2,0),"")</f>
        <v>운영비</v>
      </c>
      <c r="D351" s="835"/>
      <c r="E351" s="836"/>
      <c r="F351" s="834" t="str">
        <f>IFERROR(VLOOKUP($B351,기업명!$H$361:$AE$444,4,0),"")</f>
        <v>-</v>
      </c>
      <c r="G351" s="835"/>
      <c r="H351" s="836"/>
      <c r="I351" s="834" t="str">
        <f>IFERROR(VLOOKUP($B351,기업명!$H$361:$AE$444,7,0),"")</f>
        <v>소계</v>
      </c>
      <c r="J351" s="835"/>
      <c r="K351" s="835"/>
      <c r="L351" s="835"/>
      <c r="M351" s="836"/>
      <c r="N351" s="834">
        <f>IFERROR(VLOOKUP($B351,기업명!$H$361:$AE$444,14,0),"")</f>
        <v>0</v>
      </c>
      <c r="O351" s="835"/>
      <c r="P351" s="835"/>
      <c r="Q351" s="835"/>
      <c r="R351" s="835"/>
      <c r="S351" s="835"/>
      <c r="T351" s="835"/>
      <c r="U351" s="835"/>
      <c r="V351" s="836"/>
      <c r="W351" s="1053">
        <f>IFERROR(VLOOKUP($B351,기업명!$H$361:$AE$444,21,0),"")</f>
        <v>31600</v>
      </c>
      <c r="X351" s="1054"/>
      <c r="Y351" s="1055"/>
    </row>
    <row r="352" spans="2:25" ht="15.6" customHeight="1">
      <c r="B352" s="51">
        <v>16</v>
      </c>
      <c r="C352" s="834" t="str">
        <f>IFERROR(VLOOKUP($B352,기업명!$H$361:$AE$444,2,0),"")</f>
        <v>-</v>
      </c>
      <c r="D352" s="835"/>
      <c r="E352" s="836"/>
      <c r="F352" s="834" t="str">
        <f>IFERROR(VLOOKUP($B352,기업명!$H$361:$AE$444,4,0),"")</f>
        <v>--</v>
      </c>
      <c r="G352" s="835"/>
      <c r="H352" s="836"/>
      <c r="I352" s="834" t="str">
        <f>IFERROR(VLOOKUP($B352,기업명!$H$361:$AE$444,7,0),"")</f>
        <v>합계</v>
      </c>
      <c r="J352" s="835"/>
      <c r="K352" s="835"/>
      <c r="L352" s="835"/>
      <c r="M352" s="836"/>
      <c r="N352" s="834">
        <f>IFERROR(VLOOKUP($B352,기업명!$H$361:$AE$444,14,0),"")</f>
        <v>0</v>
      </c>
      <c r="O352" s="835"/>
      <c r="P352" s="835"/>
      <c r="Q352" s="835"/>
      <c r="R352" s="835"/>
      <c r="S352" s="835"/>
      <c r="T352" s="835"/>
      <c r="U352" s="835"/>
      <c r="V352" s="836"/>
      <c r="W352" s="1053">
        <f>IFERROR(VLOOKUP($B352,기업명!$H$361:$AE$444,21,0),"")</f>
        <v>982400</v>
      </c>
      <c r="X352" s="1054"/>
      <c r="Y352" s="1055"/>
    </row>
    <row r="353" spans="2:25" ht="15.6" customHeight="1">
      <c r="B353" s="51">
        <v>17</v>
      </c>
      <c r="C353" s="834" t="str">
        <f>IFERROR(VLOOKUP($B353,기업명!$H$361:$AE$444,2,0),"")</f>
        <v/>
      </c>
      <c r="D353" s="835"/>
      <c r="E353" s="836"/>
      <c r="F353" s="834" t="str">
        <f>IFERROR(VLOOKUP($B353,기업명!$H$361:$AE$444,4,0),"")</f>
        <v/>
      </c>
      <c r="G353" s="835"/>
      <c r="H353" s="836"/>
      <c r="I353" s="834" t="str">
        <f>IFERROR(VLOOKUP($B353,기업명!$H$361:$AE$444,7,0),"")</f>
        <v/>
      </c>
      <c r="J353" s="835"/>
      <c r="K353" s="835"/>
      <c r="L353" s="835"/>
      <c r="M353" s="836"/>
      <c r="N353" s="834" t="str">
        <f>IFERROR(VLOOKUP($B353,기업명!$H$361:$AE$444,14,0),"")</f>
        <v/>
      </c>
      <c r="O353" s="835"/>
      <c r="P353" s="835"/>
      <c r="Q353" s="835"/>
      <c r="R353" s="835"/>
      <c r="S353" s="835"/>
      <c r="T353" s="835"/>
      <c r="U353" s="835"/>
      <c r="V353" s="836"/>
      <c r="W353" s="1053" t="str">
        <f>IFERROR(VLOOKUP($B353,기업명!$H$361:$AE$444,21,0),"")</f>
        <v/>
      </c>
      <c r="X353" s="1054"/>
      <c r="Y353" s="1055"/>
    </row>
    <row r="354" spans="2:25" ht="15.6" customHeight="1">
      <c r="B354" s="51">
        <v>18</v>
      </c>
      <c r="C354" s="834" t="str">
        <f>IFERROR(VLOOKUP($B354,기업명!$H$361:$AE$444,2,0),"")</f>
        <v/>
      </c>
      <c r="D354" s="835"/>
      <c r="E354" s="836"/>
      <c r="F354" s="834" t="str">
        <f>IFERROR(VLOOKUP($B354,기업명!$H$361:$AE$444,4,0),"")</f>
        <v/>
      </c>
      <c r="G354" s="835"/>
      <c r="H354" s="836"/>
      <c r="I354" s="834" t="str">
        <f>IFERROR(VLOOKUP($B354,기업명!$H$361:$AE$444,7,0),"")</f>
        <v/>
      </c>
      <c r="J354" s="835"/>
      <c r="K354" s="835"/>
      <c r="L354" s="835"/>
      <c r="M354" s="836"/>
      <c r="N354" s="834" t="str">
        <f>IFERROR(VLOOKUP($B354,기업명!$H$361:$AE$444,14,0),"")</f>
        <v/>
      </c>
      <c r="O354" s="835"/>
      <c r="P354" s="835"/>
      <c r="Q354" s="835"/>
      <c r="R354" s="835"/>
      <c r="S354" s="835"/>
      <c r="T354" s="835"/>
      <c r="U354" s="835"/>
      <c r="V354" s="836"/>
      <c r="W354" s="1053" t="str">
        <f>IFERROR(VLOOKUP($B354,기업명!$H$361:$AE$444,21,0),"")</f>
        <v/>
      </c>
      <c r="X354" s="1054"/>
      <c r="Y354" s="1055"/>
    </row>
    <row r="355" spans="2:25" ht="15.6" customHeight="1">
      <c r="B355" s="51">
        <v>19</v>
      </c>
      <c r="C355" s="834" t="str">
        <f>IFERROR(VLOOKUP($B355,기업명!$H$361:$AE$444,2,0),"")</f>
        <v/>
      </c>
      <c r="D355" s="835"/>
      <c r="E355" s="836"/>
      <c r="F355" s="834" t="str">
        <f>IFERROR(VLOOKUP($B355,기업명!$H$361:$AE$444,4,0),"")</f>
        <v/>
      </c>
      <c r="G355" s="835"/>
      <c r="H355" s="836"/>
      <c r="I355" s="834" t="str">
        <f>IFERROR(VLOOKUP($B355,기업명!$H$361:$AE$444,7,0),"")</f>
        <v/>
      </c>
      <c r="J355" s="835"/>
      <c r="K355" s="835"/>
      <c r="L355" s="835"/>
      <c r="M355" s="836"/>
      <c r="N355" s="834" t="str">
        <f>IFERROR(VLOOKUP($B355,기업명!$H$361:$AE$444,14,0),"")</f>
        <v/>
      </c>
      <c r="O355" s="835"/>
      <c r="P355" s="835"/>
      <c r="Q355" s="835"/>
      <c r="R355" s="835"/>
      <c r="S355" s="835"/>
      <c r="T355" s="835"/>
      <c r="U355" s="835"/>
      <c r="V355" s="836"/>
      <c r="W355" s="1053" t="str">
        <f>IFERROR(VLOOKUP($B355,기업명!$H$361:$AE$444,21,0),"")</f>
        <v/>
      </c>
      <c r="X355" s="1054"/>
      <c r="Y355" s="1055"/>
    </row>
    <row r="356" spans="2:25" ht="15.6" customHeight="1">
      <c r="B356" s="51">
        <v>20</v>
      </c>
      <c r="C356" s="834" t="str">
        <f>IFERROR(VLOOKUP($B356,기업명!$H$361:$AE$444,2,0),"")</f>
        <v/>
      </c>
      <c r="D356" s="835"/>
      <c r="E356" s="836"/>
      <c r="F356" s="834" t="str">
        <f>IFERROR(VLOOKUP($B356,기업명!$H$361:$AE$444,4,0),"")</f>
        <v/>
      </c>
      <c r="G356" s="835"/>
      <c r="H356" s="836"/>
      <c r="I356" s="834" t="str">
        <f>IFERROR(VLOOKUP($B356,기업명!$H$361:$AE$444,7,0),"")</f>
        <v/>
      </c>
      <c r="J356" s="835"/>
      <c r="K356" s="835"/>
      <c r="L356" s="835"/>
      <c r="M356" s="836"/>
      <c r="N356" s="834" t="str">
        <f>IFERROR(VLOOKUP($B356,기업명!$H$361:$AE$444,14,0),"")</f>
        <v/>
      </c>
      <c r="O356" s="835"/>
      <c r="P356" s="835"/>
      <c r="Q356" s="835"/>
      <c r="R356" s="835"/>
      <c r="S356" s="835"/>
      <c r="T356" s="835"/>
      <c r="U356" s="835"/>
      <c r="V356" s="836"/>
      <c r="W356" s="1053" t="str">
        <f>IFERROR(VLOOKUP($B356,기업명!$H$361:$AE$444,21,0),"")</f>
        <v/>
      </c>
      <c r="X356" s="1054"/>
      <c r="Y356" s="1055"/>
    </row>
    <row r="357" spans="2:25" ht="15.6" customHeight="1">
      <c r="B357" s="51">
        <v>21</v>
      </c>
      <c r="C357" s="834" t="str">
        <f>IFERROR(VLOOKUP($B357,기업명!$H$361:$AE$444,2,0),"")</f>
        <v/>
      </c>
      <c r="D357" s="835"/>
      <c r="E357" s="836"/>
      <c r="F357" s="834" t="str">
        <f>IFERROR(VLOOKUP($B357,기업명!$H$361:$AE$444,4,0),"")</f>
        <v/>
      </c>
      <c r="G357" s="835"/>
      <c r="H357" s="836"/>
      <c r="I357" s="834" t="str">
        <f>IFERROR(VLOOKUP($B357,기업명!$H$361:$AE$444,7,0),"")</f>
        <v/>
      </c>
      <c r="J357" s="835"/>
      <c r="K357" s="835"/>
      <c r="L357" s="835"/>
      <c r="M357" s="836"/>
      <c r="N357" s="834" t="str">
        <f>IFERROR(VLOOKUP($B357,기업명!$H$361:$AE$444,14,0),"")</f>
        <v/>
      </c>
      <c r="O357" s="835"/>
      <c r="P357" s="835"/>
      <c r="Q357" s="835"/>
      <c r="R357" s="835"/>
      <c r="S357" s="835"/>
      <c r="T357" s="835"/>
      <c r="U357" s="835"/>
      <c r="V357" s="836"/>
      <c r="W357" s="1053" t="str">
        <f>IFERROR(VLOOKUP($B357,기업명!$H$361:$AE$444,21,0),"")</f>
        <v/>
      </c>
      <c r="X357" s="1054"/>
      <c r="Y357" s="1055"/>
    </row>
    <row r="358" spans="2:25" ht="15.6" customHeight="1">
      <c r="B358" s="51">
        <v>22</v>
      </c>
      <c r="C358" s="834" t="str">
        <f>IFERROR(VLOOKUP($B358,기업명!$H$361:$AE$444,2,0),"")</f>
        <v/>
      </c>
      <c r="D358" s="835"/>
      <c r="E358" s="836"/>
      <c r="F358" s="834" t="str">
        <f>IFERROR(VLOOKUP($B358,기업명!$H$361:$AE$444,4,0),"")</f>
        <v/>
      </c>
      <c r="G358" s="835"/>
      <c r="H358" s="836"/>
      <c r="I358" s="834" t="str">
        <f>IFERROR(VLOOKUP($B358,기업명!$H$361:$AE$444,7,0),"")</f>
        <v/>
      </c>
      <c r="J358" s="835"/>
      <c r="K358" s="835"/>
      <c r="L358" s="835"/>
      <c r="M358" s="836"/>
      <c r="N358" s="834" t="str">
        <f>IFERROR(VLOOKUP($B358,기업명!$H$361:$AE$444,14,0),"")</f>
        <v/>
      </c>
      <c r="O358" s="835"/>
      <c r="P358" s="835"/>
      <c r="Q358" s="835"/>
      <c r="R358" s="835"/>
      <c r="S358" s="835"/>
      <c r="T358" s="835"/>
      <c r="U358" s="835"/>
      <c r="V358" s="836"/>
      <c r="W358" s="1053" t="str">
        <f>IFERROR(VLOOKUP($B358,기업명!$H$361:$AE$444,21,0),"")</f>
        <v/>
      </c>
      <c r="X358" s="1054"/>
      <c r="Y358" s="1055"/>
    </row>
    <row r="359" spans="2:25" ht="15.6" customHeight="1">
      <c r="B359" s="51">
        <v>23</v>
      </c>
      <c r="C359" s="834" t="str">
        <f>IFERROR(VLOOKUP($B359,기업명!$H$361:$AE$444,2,0),"")</f>
        <v/>
      </c>
      <c r="D359" s="835"/>
      <c r="E359" s="836"/>
      <c r="F359" s="834" t="str">
        <f>IFERROR(VLOOKUP($B359,기업명!$H$361:$AE$444,4,0),"")</f>
        <v/>
      </c>
      <c r="G359" s="835"/>
      <c r="H359" s="836"/>
      <c r="I359" s="834" t="str">
        <f>IFERROR(VLOOKUP($B359,기업명!$H$361:$AE$444,7,0),"")</f>
        <v/>
      </c>
      <c r="J359" s="835"/>
      <c r="K359" s="835"/>
      <c r="L359" s="835"/>
      <c r="M359" s="836"/>
      <c r="N359" s="834" t="str">
        <f>IFERROR(VLOOKUP($B359,기업명!$H$361:$AE$444,14,0),"")</f>
        <v/>
      </c>
      <c r="O359" s="835"/>
      <c r="P359" s="835"/>
      <c r="Q359" s="835"/>
      <c r="R359" s="835"/>
      <c r="S359" s="835"/>
      <c r="T359" s="835"/>
      <c r="U359" s="835"/>
      <c r="V359" s="836"/>
      <c r="W359" s="1053" t="str">
        <f>IFERROR(VLOOKUP($B359,기업명!$H$361:$AE$444,21,0),"")</f>
        <v/>
      </c>
      <c r="X359" s="1054"/>
      <c r="Y359" s="1055"/>
    </row>
    <row r="360" spans="2:25" ht="15.6" customHeight="1">
      <c r="B360" s="51">
        <v>24</v>
      </c>
      <c r="C360" s="834" t="str">
        <f>IFERROR(VLOOKUP($B360,기업명!$H$361:$AE$444,2,0),"")</f>
        <v/>
      </c>
      <c r="D360" s="835"/>
      <c r="E360" s="836"/>
      <c r="F360" s="834" t="str">
        <f>IFERROR(VLOOKUP($B360,기업명!$H$361:$AE$444,4,0),"")</f>
        <v/>
      </c>
      <c r="G360" s="835"/>
      <c r="H360" s="836"/>
      <c r="I360" s="834" t="str">
        <f>IFERROR(VLOOKUP($B360,기업명!$H$361:$AE$444,7,0),"")</f>
        <v/>
      </c>
      <c r="J360" s="835"/>
      <c r="K360" s="835"/>
      <c r="L360" s="835"/>
      <c r="M360" s="836"/>
      <c r="N360" s="834" t="str">
        <f>IFERROR(VLOOKUP($B360,기업명!$H$361:$AE$444,14,0),"")</f>
        <v/>
      </c>
      <c r="O360" s="835"/>
      <c r="P360" s="835"/>
      <c r="Q360" s="835"/>
      <c r="R360" s="835"/>
      <c r="S360" s="835"/>
      <c r="T360" s="835"/>
      <c r="U360" s="835"/>
      <c r="V360" s="836"/>
      <c r="W360" s="1053" t="str">
        <f>IFERROR(VLOOKUP($B360,기업명!$H$361:$AE$444,21,0),"")</f>
        <v/>
      </c>
      <c r="X360" s="1054"/>
      <c r="Y360" s="1055"/>
    </row>
    <row r="361" spans="2:25" ht="15.6" customHeight="1">
      <c r="B361" s="51">
        <v>25</v>
      </c>
      <c r="C361" s="834" t="str">
        <f>IFERROR(VLOOKUP($B361,기업명!$H$361:$AE$444,2,0),"")</f>
        <v/>
      </c>
      <c r="D361" s="835"/>
      <c r="E361" s="836"/>
      <c r="F361" s="834" t="str">
        <f>IFERROR(VLOOKUP($B361,기업명!$H$361:$AE$444,4,0),"")</f>
        <v/>
      </c>
      <c r="G361" s="835"/>
      <c r="H361" s="836"/>
      <c r="I361" s="834" t="str">
        <f>IFERROR(VLOOKUP($B361,기업명!$H$361:$AE$444,7,0),"")</f>
        <v/>
      </c>
      <c r="J361" s="835"/>
      <c r="K361" s="835"/>
      <c r="L361" s="835"/>
      <c r="M361" s="836"/>
      <c r="N361" s="834" t="str">
        <f>IFERROR(VLOOKUP($B361,기업명!$H$361:$AE$444,14,0),"")</f>
        <v/>
      </c>
      <c r="O361" s="835"/>
      <c r="P361" s="835"/>
      <c r="Q361" s="835"/>
      <c r="R361" s="835"/>
      <c r="S361" s="835"/>
      <c r="T361" s="835"/>
      <c r="U361" s="835"/>
      <c r="V361" s="836"/>
      <c r="W361" s="1053" t="str">
        <f>IFERROR(VLOOKUP($B361,기업명!$H$361:$AE$444,21,0),"")</f>
        <v/>
      </c>
      <c r="X361" s="1054"/>
      <c r="Y361" s="1055"/>
    </row>
    <row r="362" spans="2:25" ht="15.6" customHeight="1">
      <c r="B362" s="51">
        <v>26</v>
      </c>
      <c r="C362" s="834" t="str">
        <f>IFERROR(VLOOKUP($B362,기업명!$H$361:$AE$444,2,0),"")</f>
        <v/>
      </c>
      <c r="D362" s="835"/>
      <c r="E362" s="836"/>
      <c r="F362" s="834" t="str">
        <f>IFERROR(VLOOKUP($B362,기업명!$H$361:$AE$444,4,0),"")</f>
        <v/>
      </c>
      <c r="G362" s="835"/>
      <c r="H362" s="836"/>
      <c r="I362" s="834" t="str">
        <f>IFERROR(VLOOKUP($B362,기업명!$H$361:$AE$444,7,0),"")</f>
        <v/>
      </c>
      <c r="J362" s="835"/>
      <c r="K362" s="835"/>
      <c r="L362" s="835"/>
      <c r="M362" s="836"/>
      <c r="N362" s="834" t="str">
        <f>IFERROR(VLOOKUP($B362,기업명!$H$361:$AE$444,14,0),"")</f>
        <v/>
      </c>
      <c r="O362" s="835"/>
      <c r="P362" s="835"/>
      <c r="Q362" s="835"/>
      <c r="R362" s="835"/>
      <c r="S362" s="835"/>
      <c r="T362" s="835"/>
      <c r="U362" s="835"/>
      <c r="V362" s="836"/>
      <c r="W362" s="1053" t="str">
        <f>IFERROR(VLOOKUP($B362,기업명!$H$361:$AE$444,21,0),"")</f>
        <v/>
      </c>
      <c r="X362" s="1054"/>
      <c r="Y362" s="1055"/>
    </row>
    <row r="363" spans="2:25" ht="15.6" customHeight="1">
      <c r="B363" s="51">
        <v>27</v>
      </c>
      <c r="C363" s="834" t="str">
        <f>IFERROR(VLOOKUP($B363,기업명!$H$361:$AE$444,2,0),"")</f>
        <v/>
      </c>
      <c r="D363" s="835"/>
      <c r="E363" s="836"/>
      <c r="F363" s="834" t="str">
        <f>IFERROR(VLOOKUP($B363,기업명!$H$361:$AE$444,4,0),"")</f>
        <v/>
      </c>
      <c r="G363" s="835"/>
      <c r="H363" s="836"/>
      <c r="I363" s="834" t="str">
        <f>IFERROR(VLOOKUP($B363,기업명!$H$361:$AE$444,7,0),"")</f>
        <v/>
      </c>
      <c r="J363" s="835"/>
      <c r="K363" s="835"/>
      <c r="L363" s="835"/>
      <c r="M363" s="836"/>
      <c r="N363" s="834" t="str">
        <f>IFERROR(VLOOKUP($B363,기업명!$H$361:$AE$444,14,0),"")</f>
        <v/>
      </c>
      <c r="O363" s="835"/>
      <c r="P363" s="835"/>
      <c r="Q363" s="835"/>
      <c r="R363" s="835"/>
      <c r="S363" s="835"/>
      <c r="T363" s="835"/>
      <c r="U363" s="835"/>
      <c r="V363" s="836"/>
      <c r="W363" s="1053" t="str">
        <f>IFERROR(VLOOKUP($B363,기업명!$H$361:$AE$444,21,0),"")</f>
        <v/>
      </c>
      <c r="X363" s="1054"/>
      <c r="Y363" s="1055"/>
    </row>
    <row r="364" spans="2:25" ht="15.6" customHeight="1">
      <c r="B364" s="51">
        <v>28</v>
      </c>
      <c r="C364" s="834" t="str">
        <f>IFERROR(VLOOKUP($B364,기업명!$H$361:$AE$444,2,0),"")</f>
        <v/>
      </c>
      <c r="D364" s="835"/>
      <c r="E364" s="836"/>
      <c r="F364" s="834" t="str">
        <f>IFERROR(VLOOKUP($B364,기업명!$H$361:$AE$444,4,0),"")</f>
        <v/>
      </c>
      <c r="G364" s="835"/>
      <c r="H364" s="836"/>
      <c r="I364" s="834" t="str">
        <f>IFERROR(VLOOKUP($B364,기업명!$H$361:$AE$444,7,0),"")</f>
        <v/>
      </c>
      <c r="J364" s="835"/>
      <c r="K364" s="835"/>
      <c r="L364" s="835"/>
      <c r="M364" s="836"/>
      <c r="N364" s="834" t="str">
        <f>IFERROR(VLOOKUP($B364,기업명!$H$361:$AE$444,14,0),"")</f>
        <v/>
      </c>
      <c r="O364" s="835"/>
      <c r="P364" s="835"/>
      <c r="Q364" s="835"/>
      <c r="R364" s="835"/>
      <c r="S364" s="835"/>
      <c r="T364" s="835"/>
      <c r="U364" s="835"/>
      <c r="V364" s="836"/>
      <c r="W364" s="1053" t="str">
        <f>IFERROR(VLOOKUP($B364,기업명!$H$361:$AE$444,21,0),"")</f>
        <v/>
      </c>
      <c r="X364" s="1054"/>
      <c r="Y364" s="1055"/>
    </row>
    <row r="365" spans="2:25" ht="15.6" customHeight="1">
      <c r="B365" s="51">
        <v>29</v>
      </c>
      <c r="C365" s="834" t="str">
        <f>IFERROR(VLOOKUP($B365,기업명!$H$361:$AE$444,2,0),"")</f>
        <v/>
      </c>
      <c r="D365" s="835"/>
      <c r="E365" s="836"/>
      <c r="F365" s="834" t="str">
        <f>IFERROR(VLOOKUP($B365,기업명!$H$361:$AE$444,4,0),"")</f>
        <v/>
      </c>
      <c r="G365" s="835"/>
      <c r="H365" s="836"/>
      <c r="I365" s="834" t="str">
        <f>IFERROR(VLOOKUP($B365,기업명!$H$361:$AE$444,7,0),"")</f>
        <v/>
      </c>
      <c r="J365" s="835"/>
      <c r="K365" s="835"/>
      <c r="L365" s="835"/>
      <c r="M365" s="836"/>
      <c r="N365" s="834" t="str">
        <f>IFERROR(VLOOKUP($B365,기업명!$H$361:$AE$444,14,0),"")</f>
        <v/>
      </c>
      <c r="O365" s="835"/>
      <c r="P365" s="835"/>
      <c r="Q365" s="835"/>
      <c r="R365" s="835"/>
      <c r="S365" s="835"/>
      <c r="T365" s="835"/>
      <c r="U365" s="835"/>
      <c r="V365" s="836"/>
      <c r="W365" s="1053" t="str">
        <f>IFERROR(VLOOKUP($B365,기업명!$H$361:$AE$444,21,0),"")</f>
        <v/>
      </c>
      <c r="X365" s="1054"/>
      <c r="Y365" s="1055"/>
    </row>
    <row r="366" spans="2:25" ht="15.6" customHeight="1">
      <c r="B366" s="51">
        <v>30</v>
      </c>
      <c r="C366" s="834" t="str">
        <f>IFERROR(VLOOKUP($B366,기업명!$H$361:$AE$444,2,0),"")</f>
        <v/>
      </c>
      <c r="D366" s="835"/>
      <c r="E366" s="836"/>
      <c r="F366" s="834" t="str">
        <f>IFERROR(VLOOKUP($B366,기업명!$H$361:$AE$444,4,0),"")</f>
        <v/>
      </c>
      <c r="G366" s="835"/>
      <c r="H366" s="836"/>
      <c r="I366" s="834" t="str">
        <f>IFERROR(VLOOKUP($B366,기업명!$H$361:$AE$444,7,0),"")</f>
        <v/>
      </c>
      <c r="J366" s="835"/>
      <c r="K366" s="835"/>
      <c r="L366" s="835"/>
      <c r="M366" s="836"/>
      <c r="N366" s="834" t="str">
        <f>IFERROR(VLOOKUP($B366,기업명!$H$361:$AE$444,14,0),"")</f>
        <v/>
      </c>
      <c r="O366" s="835"/>
      <c r="P366" s="835"/>
      <c r="Q366" s="835"/>
      <c r="R366" s="835"/>
      <c r="S366" s="835"/>
      <c r="T366" s="835"/>
      <c r="U366" s="835"/>
      <c r="V366" s="836"/>
      <c r="W366" s="1053" t="str">
        <f>IFERROR(VLOOKUP($B366,기업명!$H$361:$AE$444,21,0),"")</f>
        <v/>
      </c>
      <c r="X366" s="1054"/>
      <c r="Y366" s="1055"/>
    </row>
    <row r="367" spans="2:25" ht="15.6" customHeight="1">
      <c r="B367" s="51">
        <v>31</v>
      </c>
      <c r="C367" s="834" t="str">
        <f>IFERROR(VLOOKUP($B367,기업명!$H$361:$AE$444,2,0),"")</f>
        <v/>
      </c>
      <c r="D367" s="835"/>
      <c r="E367" s="836"/>
      <c r="F367" s="834" t="str">
        <f>IFERROR(VLOOKUP($B367,기업명!$H$361:$AE$444,4,0),"")</f>
        <v/>
      </c>
      <c r="G367" s="835"/>
      <c r="H367" s="836"/>
      <c r="I367" s="834" t="str">
        <f>IFERROR(VLOOKUP($B367,기업명!$H$361:$AE$444,7,0),"")</f>
        <v/>
      </c>
      <c r="J367" s="835"/>
      <c r="K367" s="835"/>
      <c r="L367" s="835"/>
      <c r="M367" s="836"/>
      <c r="N367" s="834" t="str">
        <f>IFERROR(VLOOKUP($B367,기업명!$H$361:$AE$444,14,0),"")</f>
        <v/>
      </c>
      <c r="O367" s="835"/>
      <c r="P367" s="835"/>
      <c r="Q367" s="835"/>
      <c r="R367" s="835"/>
      <c r="S367" s="835"/>
      <c r="T367" s="835"/>
      <c r="U367" s="835"/>
      <c r="V367" s="836"/>
      <c r="W367" s="1053" t="str">
        <f>IFERROR(VLOOKUP($B367,기업명!$H$361:$AE$444,21,0),"")</f>
        <v/>
      </c>
      <c r="X367" s="1054"/>
      <c r="Y367" s="1055"/>
    </row>
    <row r="368" spans="2:25" ht="15.6" customHeight="1">
      <c r="B368" s="51">
        <v>32</v>
      </c>
      <c r="C368" s="834" t="str">
        <f>IFERROR(VLOOKUP($B368,기업명!$H$361:$AE$444,2,0),"")</f>
        <v/>
      </c>
      <c r="D368" s="835"/>
      <c r="E368" s="836"/>
      <c r="F368" s="834" t="str">
        <f>IFERROR(VLOOKUP($B368,기업명!$H$361:$AE$444,4,0),"")</f>
        <v/>
      </c>
      <c r="G368" s="835"/>
      <c r="H368" s="836"/>
      <c r="I368" s="834" t="str">
        <f>IFERROR(VLOOKUP($B368,기업명!$H$361:$AE$444,7,0),"")</f>
        <v/>
      </c>
      <c r="J368" s="835"/>
      <c r="K368" s="835"/>
      <c r="L368" s="835"/>
      <c r="M368" s="836"/>
      <c r="N368" s="834" t="str">
        <f>IFERROR(VLOOKUP($B368,기업명!$H$361:$AE$444,14,0),"")</f>
        <v/>
      </c>
      <c r="O368" s="835"/>
      <c r="P368" s="835"/>
      <c r="Q368" s="835"/>
      <c r="R368" s="835"/>
      <c r="S368" s="835"/>
      <c r="T368" s="835"/>
      <c r="U368" s="835"/>
      <c r="V368" s="836"/>
      <c r="W368" s="1053" t="str">
        <f>IFERROR(VLOOKUP($B368,기업명!$H$361:$AE$444,21,0),"")</f>
        <v/>
      </c>
      <c r="X368" s="1054"/>
      <c r="Y368" s="1055"/>
    </row>
    <row r="369" spans="2:25" ht="15.6" customHeight="1">
      <c r="B369" s="51">
        <v>33</v>
      </c>
      <c r="C369" s="834" t="str">
        <f>IFERROR(VLOOKUP($B369,기업명!$H$361:$AE$444,2,0),"")</f>
        <v/>
      </c>
      <c r="D369" s="835"/>
      <c r="E369" s="836"/>
      <c r="F369" s="834" t="str">
        <f>IFERROR(VLOOKUP($B369,기업명!$H$361:$AE$444,4,0),"")</f>
        <v/>
      </c>
      <c r="G369" s="835"/>
      <c r="H369" s="836"/>
      <c r="I369" s="834" t="str">
        <f>IFERROR(VLOOKUP($B369,기업명!$H$361:$AE$444,7,0),"")</f>
        <v/>
      </c>
      <c r="J369" s="835"/>
      <c r="K369" s="835"/>
      <c r="L369" s="835"/>
      <c r="M369" s="836"/>
      <c r="N369" s="834" t="str">
        <f>IFERROR(VLOOKUP($B369,기업명!$H$361:$AE$444,14,0),"")</f>
        <v/>
      </c>
      <c r="O369" s="835"/>
      <c r="P369" s="835"/>
      <c r="Q369" s="835"/>
      <c r="R369" s="835"/>
      <c r="S369" s="835"/>
      <c r="T369" s="835"/>
      <c r="U369" s="835"/>
      <c r="V369" s="836"/>
      <c r="W369" s="1053" t="str">
        <f>IFERROR(VLOOKUP($B369,기업명!$H$361:$AE$444,21,0),"")</f>
        <v/>
      </c>
      <c r="X369" s="1054"/>
      <c r="Y369" s="1055"/>
    </row>
    <row r="370" spans="2:25" ht="15.6" customHeight="1">
      <c r="B370" s="51">
        <v>34</v>
      </c>
      <c r="C370" s="834" t="str">
        <f>IFERROR(VLOOKUP($B370,기업명!$H$361:$AE$444,2,0),"")</f>
        <v/>
      </c>
      <c r="D370" s="835"/>
      <c r="E370" s="836"/>
      <c r="F370" s="834" t="str">
        <f>IFERROR(VLOOKUP($B370,기업명!$H$361:$AE$444,4,0),"")</f>
        <v/>
      </c>
      <c r="G370" s="835"/>
      <c r="H370" s="836"/>
      <c r="I370" s="834" t="str">
        <f>IFERROR(VLOOKUP($B370,기업명!$H$361:$AE$444,7,0),"")</f>
        <v/>
      </c>
      <c r="J370" s="835"/>
      <c r="K370" s="835"/>
      <c r="L370" s="835"/>
      <c r="M370" s="836"/>
      <c r="N370" s="834" t="str">
        <f>IFERROR(VLOOKUP($B370,기업명!$H$361:$AE$444,14,0),"")</f>
        <v/>
      </c>
      <c r="O370" s="835"/>
      <c r="P370" s="835"/>
      <c r="Q370" s="835"/>
      <c r="R370" s="835"/>
      <c r="S370" s="835"/>
      <c r="T370" s="835"/>
      <c r="U370" s="835"/>
      <c r="V370" s="836"/>
      <c r="W370" s="1053" t="str">
        <f>IFERROR(VLOOKUP($B370,기업명!$H$361:$AE$444,21,0),"")</f>
        <v/>
      </c>
      <c r="X370" s="1054"/>
      <c r="Y370" s="1055"/>
    </row>
    <row r="371" spans="2:25" ht="15.6" customHeight="1">
      <c r="B371" s="51">
        <v>35</v>
      </c>
      <c r="C371" s="834" t="str">
        <f>IFERROR(VLOOKUP($B371,기업명!$H$361:$AE$444,2,0),"")</f>
        <v/>
      </c>
      <c r="D371" s="835"/>
      <c r="E371" s="836"/>
      <c r="F371" s="834" t="str">
        <f>IFERROR(VLOOKUP($B371,기업명!$H$361:$AE$444,4,0),"")</f>
        <v/>
      </c>
      <c r="G371" s="835"/>
      <c r="H371" s="836"/>
      <c r="I371" s="834" t="str">
        <f>IFERROR(VLOOKUP($B371,기업명!$H$361:$AE$444,7,0),"")</f>
        <v/>
      </c>
      <c r="J371" s="835"/>
      <c r="K371" s="835"/>
      <c r="L371" s="835"/>
      <c r="M371" s="836"/>
      <c r="N371" s="834" t="str">
        <f>IFERROR(VLOOKUP($B371,기업명!$H$361:$AE$444,14,0),"")</f>
        <v/>
      </c>
      <c r="O371" s="835"/>
      <c r="P371" s="835"/>
      <c r="Q371" s="835"/>
      <c r="R371" s="835"/>
      <c r="S371" s="835"/>
      <c r="T371" s="835"/>
      <c r="U371" s="835"/>
      <c r="V371" s="836"/>
      <c r="W371" s="1053" t="str">
        <f>IFERROR(VLOOKUP($B371,기업명!$H$361:$AE$444,21,0),"")</f>
        <v/>
      </c>
      <c r="X371" s="1054"/>
      <c r="Y371" s="1055"/>
    </row>
    <row r="372" spans="2:25" ht="15.6" customHeight="1">
      <c r="B372" s="51">
        <v>36</v>
      </c>
      <c r="C372" s="834" t="str">
        <f>IFERROR(VLOOKUP($B372,기업명!$H$361:$AE$444,2,0),"")</f>
        <v/>
      </c>
      <c r="D372" s="835"/>
      <c r="E372" s="836"/>
      <c r="F372" s="834" t="str">
        <f>IFERROR(VLOOKUP($B372,기업명!$H$361:$AE$444,4,0),"")</f>
        <v/>
      </c>
      <c r="G372" s="835"/>
      <c r="H372" s="836"/>
      <c r="I372" s="834" t="str">
        <f>IFERROR(VLOOKUP($B372,기업명!$H$361:$AE$444,7,0),"")</f>
        <v/>
      </c>
      <c r="J372" s="835"/>
      <c r="K372" s="835"/>
      <c r="L372" s="835"/>
      <c r="M372" s="836"/>
      <c r="N372" s="834" t="str">
        <f>IFERROR(VLOOKUP($B372,기업명!$H$361:$AE$444,14,0),"")</f>
        <v/>
      </c>
      <c r="O372" s="835"/>
      <c r="P372" s="835"/>
      <c r="Q372" s="835"/>
      <c r="R372" s="835"/>
      <c r="S372" s="835"/>
      <c r="T372" s="835"/>
      <c r="U372" s="835"/>
      <c r="V372" s="836"/>
      <c r="W372" s="1053" t="str">
        <f>IFERROR(VLOOKUP($B372,기업명!$H$361:$AE$444,21,0),"")</f>
        <v/>
      </c>
      <c r="X372" s="1054"/>
      <c r="Y372" s="1055"/>
    </row>
    <row r="373" spans="2:25" ht="15.6" customHeight="1">
      <c r="B373" s="51">
        <v>37</v>
      </c>
      <c r="C373" s="834" t="str">
        <f>IFERROR(VLOOKUP($B373,기업명!$H$361:$AE$444,2,0),"")</f>
        <v/>
      </c>
      <c r="D373" s="835"/>
      <c r="E373" s="836"/>
      <c r="F373" s="834" t="str">
        <f>IFERROR(VLOOKUP($B373,기업명!$H$361:$AE$444,4,0),"")</f>
        <v/>
      </c>
      <c r="G373" s="835"/>
      <c r="H373" s="836"/>
      <c r="I373" s="834" t="str">
        <f>IFERROR(VLOOKUP($B373,기업명!$H$361:$AE$444,7,0),"")</f>
        <v/>
      </c>
      <c r="J373" s="835"/>
      <c r="K373" s="835"/>
      <c r="L373" s="835"/>
      <c r="M373" s="836"/>
      <c r="N373" s="834" t="str">
        <f>IFERROR(VLOOKUP($B373,기업명!$H$361:$AE$444,14,0),"")</f>
        <v/>
      </c>
      <c r="O373" s="835"/>
      <c r="P373" s="835"/>
      <c r="Q373" s="835"/>
      <c r="R373" s="835"/>
      <c r="S373" s="835"/>
      <c r="T373" s="835"/>
      <c r="U373" s="835"/>
      <c r="V373" s="836"/>
      <c r="W373" s="1053" t="str">
        <f>IFERROR(VLOOKUP($B373,기업명!$H$361:$AE$444,21,0),"")</f>
        <v/>
      </c>
      <c r="X373" s="1054"/>
      <c r="Y373" s="1055"/>
    </row>
    <row r="374" spans="2:25" ht="15.6" customHeight="1">
      <c r="B374" s="51">
        <v>38</v>
      </c>
      <c r="C374" s="834" t="str">
        <f>IFERROR(VLOOKUP($B374,기업명!$H$361:$AE$444,2,0),"")</f>
        <v/>
      </c>
      <c r="D374" s="835"/>
      <c r="E374" s="836"/>
      <c r="F374" s="834" t="str">
        <f>IFERROR(VLOOKUP($B374,기업명!$H$361:$AE$444,4,0),"")</f>
        <v/>
      </c>
      <c r="G374" s="835"/>
      <c r="H374" s="836"/>
      <c r="I374" s="834" t="str">
        <f>IFERROR(VLOOKUP($B374,기업명!$H$361:$AE$444,7,0),"")</f>
        <v/>
      </c>
      <c r="J374" s="835"/>
      <c r="K374" s="835"/>
      <c r="L374" s="835"/>
      <c r="M374" s="836"/>
      <c r="N374" s="834" t="str">
        <f>IFERROR(VLOOKUP($B374,기업명!$H$361:$AE$444,14,0),"")</f>
        <v/>
      </c>
      <c r="O374" s="835"/>
      <c r="P374" s="835"/>
      <c r="Q374" s="835"/>
      <c r="R374" s="835"/>
      <c r="S374" s="835"/>
      <c r="T374" s="835"/>
      <c r="U374" s="835"/>
      <c r="V374" s="836"/>
      <c r="W374" s="1053" t="str">
        <f>IFERROR(VLOOKUP($B374,기업명!$H$361:$AE$444,21,0),"")</f>
        <v/>
      </c>
      <c r="X374" s="1054"/>
      <c r="Y374" s="1055"/>
    </row>
    <row r="375" spans="2:25" ht="15.6" customHeight="1">
      <c r="B375" s="51">
        <v>39</v>
      </c>
      <c r="C375" s="834" t="str">
        <f>IFERROR(VLOOKUP($B375,기업명!$H$361:$AE$444,2,0),"")</f>
        <v/>
      </c>
      <c r="D375" s="835"/>
      <c r="E375" s="836"/>
      <c r="F375" s="834" t="str">
        <f>IFERROR(VLOOKUP($B375,기업명!$H$361:$AE$444,4,0),"")</f>
        <v/>
      </c>
      <c r="G375" s="835"/>
      <c r="H375" s="836"/>
      <c r="I375" s="834" t="str">
        <f>IFERROR(VLOOKUP($B375,기업명!$H$361:$AE$444,7,0),"")</f>
        <v/>
      </c>
      <c r="J375" s="835"/>
      <c r="K375" s="835"/>
      <c r="L375" s="835"/>
      <c r="M375" s="836"/>
      <c r="N375" s="834" t="str">
        <f>IFERROR(VLOOKUP($B375,기업명!$H$361:$AE$444,14,0),"")</f>
        <v/>
      </c>
      <c r="O375" s="835"/>
      <c r="P375" s="835"/>
      <c r="Q375" s="835"/>
      <c r="R375" s="835"/>
      <c r="S375" s="835"/>
      <c r="T375" s="835"/>
      <c r="U375" s="835"/>
      <c r="V375" s="836"/>
      <c r="W375" s="1053" t="str">
        <f>IFERROR(VLOOKUP($B375,기업명!$H$361:$AE$444,21,0),"")</f>
        <v/>
      </c>
      <c r="X375" s="1054"/>
      <c r="Y375" s="1055"/>
    </row>
    <row r="376" spans="2:25" ht="15.6" customHeight="1">
      <c r="B376" s="51">
        <v>40</v>
      </c>
      <c r="C376" s="834" t="str">
        <f>IFERROR(VLOOKUP($B376,기업명!$H$361:$AE$444,2,0),"")</f>
        <v/>
      </c>
      <c r="D376" s="835"/>
      <c r="E376" s="836"/>
      <c r="F376" s="834" t="str">
        <f>IFERROR(VLOOKUP($B376,기업명!$H$361:$AE$444,4,0),"")</f>
        <v/>
      </c>
      <c r="G376" s="835"/>
      <c r="H376" s="836"/>
      <c r="I376" s="834" t="str">
        <f>IFERROR(VLOOKUP($B376,기업명!$H$361:$AE$444,7,0),"")</f>
        <v/>
      </c>
      <c r="J376" s="835"/>
      <c r="K376" s="835"/>
      <c r="L376" s="835"/>
      <c r="M376" s="836"/>
      <c r="N376" s="834" t="str">
        <f>IFERROR(VLOOKUP($B376,기업명!$H$361:$AE$444,14,0),"")</f>
        <v/>
      </c>
      <c r="O376" s="835"/>
      <c r="P376" s="835"/>
      <c r="Q376" s="835"/>
      <c r="R376" s="835"/>
      <c r="S376" s="835"/>
      <c r="T376" s="835"/>
      <c r="U376" s="835"/>
      <c r="V376" s="836"/>
      <c r="W376" s="1053" t="str">
        <f>IFERROR(VLOOKUP($B376,기업명!$H$361:$AE$444,21,0),"")</f>
        <v/>
      </c>
      <c r="X376" s="1054"/>
      <c r="Y376" s="1055"/>
    </row>
    <row r="377" spans="2:25" ht="15.6" customHeight="1">
      <c r="B377" s="51">
        <v>41</v>
      </c>
      <c r="C377" s="834" t="str">
        <f>IFERROR(VLOOKUP($B377,기업명!$H$361:$AE$444,2,0),"")</f>
        <v/>
      </c>
      <c r="D377" s="835"/>
      <c r="E377" s="836"/>
      <c r="F377" s="834" t="str">
        <f>IFERROR(VLOOKUP($B377,기업명!$H$361:$AE$444,4,0),"")</f>
        <v/>
      </c>
      <c r="G377" s="835"/>
      <c r="H377" s="836"/>
      <c r="I377" s="834" t="str">
        <f>IFERROR(VLOOKUP($B377,기업명!$H$361:$AE$444,7,0),"")</f>
        <v/>
      </c>
      <c r="J377" s="835"/>
      <c r="K377" s="835"/>
      <c r="L377" s="835"/>
      <c r="M377" s="836"/>
      <c r="N377" s="834" t="str">
        <f>IFERROR(VLOOKUP($B377,기업명!$H$361:$AE$444,14,0),"")</f>
        <v/>
      </c>
      <c r="O377" s="835"/>
      <c r="P377" s="835"/>
      <c r="Q377" s="835"/>
      <c r="R377" s="835"/>
      <c r="S377" s="835"/>
      <c r="T377" s="835"/>
      <c r="U377" s="835"/>
      <c r="V377" s="836"/>
      <c r="W377" s="1053" t="str">
        <f>IFERROR(VLOOKUP($B377,기업명!$H$361:$AE$444,21,0),"")</f>
        <v/>
      </c>
      <c r="X377" s="1054"/>
      <c r="Y377" s="1055"/>
    </row>
    <row r="378" spans="2:25" ht="15.6" customHeight="1">
      <c r="B378" s="51">
        <v>42</v>
      </c>
      <c r="C378" s="834" t="str">
        <f>IFERROR(VLOOKUP($B378,기업명!$H$361:$AE$444,2,0),"")</f>
        <v/>
      </c>
      <c r="D378" s="835"/>
      <c r="E378" s="836"/>
      <c r="F378" s="834" t="str">
        <f>IFERROR(VLOOKUP($B378,기업명!$H$361:$AE$444,4,0),"")</f>
        <v/>
      </c>
      <c r="G378" s="835"/>
      <c r="H378" s="836"/>
      <c r="I378" s="834" t="str">
        <f>IFERROR(VLOOKUP($B378,기업명!$H$361:$AE$444,7,0),"")</f>
        <v/>
      </c>
      <c r="J378" s="835"/>
      <c r="K378" s="835"/>
      <c r="L378" s="835"/>
      <c r="M378" s="836"/>
      <c r="N378" s="834" t="str">
        <f>IFERROR(VLOOKUP($B378,기업명!$H$361:$AE$444,14,0),"")</f>
        <v/>
      </c>
      <c r="O378" s="835"/>
      <c r="P378" s="835"/>
      <c r="Q378" s="835"/>
      <c r="R378" s="835"/>
      <c r="S378" s="835"/>
      <c r="T378" s="835"/>
      <c r="U378" s="835"/>
      <c r="V378" s="836"/>
      <c r="W378" s="1053" t="str">
        <f>IFERROR(VLOOKUP($B378,기업명!$H$361:$AE$444,21,0),"")</f>
        <v/>
      </c>
      <c r="X378" s="1054"/>
      <c r="Y378" s="1055"/>
    </row>
    <row r="379" spans="2:25" ht="15.6" customHeight="1">
      <c r="B379" s="51">
        <v>43</v>
      </c>
      <c r="C379" s="834" t="str">
        <f>IFERROR(VLOOKUP($B379,기업명!$H$361:$AE$444,2,0),"")</f>
        <v/>
      </c>
      <c r="D379" s="835"/>
      <c r="E379" s="836"/>
      <c r="F379" s="834" t="str">
        <f>IFERROR(VLOOKUP($B379,기업명!$H$361:$AE$444,4,0),"")</f>
        <v/>
      </c>
      <c r="G379" s="835"/>
      <c r="H379" s="836"/>
      <c r="I379" s="834" t="str">
        <f>IFERROR(VLOOKUP($B379,기업명!$H$361:$AE$444,7,0),"")</f>
        <v/>
      </c>
      <c r="J379" s="835"/>
      <c r="K379" s="835"/>
      <c r="L379" s="835"/>
      <c r="M379" s="836"/>
      <c r="N379" s="834" t="str">
        <f>IFERROR(VLOOKUP($B379,기업명!$H$361:$AE$444,14,0),"")</f>
        <v/>
      </c>
      <c r="O379" s="835"/>
      <c r="P379" s="835"/>
      <c r="Q379" s="835"/>
      <c r="R379" s="835"/>
      <c r="S379" s="835"/>
      <c r="T379" s="835"/>
      <c r="U379" s="835"/>
      <c r="V379" s="836"/>
      <c r="W379" s="1053" t="str">
        <f>IFERROR(VLOOKUP($B379,기업명!$H$361:$AE$444,21,0),"")</f>
        <v/>
      </c>
      <c r="X379" s="1054"/>
      <c r="Y379" s="1055"/>
    </row>
    <row r="380" spans="2:25" ht="15.6" customHeight="1">
      <c r="B380" s="51">
        <v>44</v>
      </c>
      <c r="C380" s="834" t="str">
        <f>IFERROR(VLOOKUP($B380,기업명!$H$361:$AE$444,2,0),"")</f>
        <v/>
      </c>
      <c r="D380" s="835"/>
      <c r="E380" s="836"/>
      <c r="F380" s="834" t="str">
        <f>IFERROR(VLOOKUP($B380,기업명!$H$361:$AE$444,4,0),"")</f>
        <v/>
      </c>
      <c r="G380" s="835"/>
      <c r="H380" s="836"/>
      <c r="I380" s="834" t="str">
        <f>IFERROR(VLOOKUP($B380,기업명!$H$361:$AE$444,7,0),"")</f>
        <v/>
      </c>
      <c r="J380" s="835"/>
      <c r="K380" s="835"/>
      <c r="L380" s="835"/>
      <c r="M380" s="836"/>
      <c r="N380" s="834" t="str">
        <f>IFERROR(VLOOKUP($B380,기업명!$H$361:$AE$444,14,0),"")</f>
        <v/>
      </c>
      <c r="O380" s="835"/>
      <c r="P380" s="835"/>
      <c r="Q380" s="835"/>
      <c r="R380" s="835"/>
      <c r="S380" s="835"/>
      <c r="T380" s="835"/>
      <c r="U380" s="835"/>
      <c r="V380" s="836"/>
      <c r="W380" s="1053" t="str">
        <f>IFERROR(VLOOKUP($B380,기업명!$H$361:$AE$444,21,0),"")</f>
        <v/>
      </c>
      <c r="X380" s="1054"/>
      <c r="Y380" s="1055"/>
    </row>
    <row r="381" spans="2:25" ht="15.6" customHeight="1">
      <c r="B381" s="51">
        <v>45</v>
      </c>
      <c r="C381" s="834" t="str">
        <f>IFERROR(VLOOKUP($B381,기업명!$H$361:$AE$444,2,0),"")</f>
        <v/>
      </c>
      <c r="D381" s="835"/>
      <c r="E381" s="836"/>
      <c r="F381" s="834" t="str">
        <f>IFERROR(VLOOKUP($B381,기업명!$H$361:$AE$444,4,0),"")</f>
        <v/>
      </c>
      <c r="G381" s="835"/>
      <c r="H381" s="836"/>
      <c r="I381" s="834" t="str">
        <f>IFERROR(VLOOKUP($B381,기업명!$H$361:$AE$444,7,0),"")</f>
        <v/>
      </c>
      <c r="J381" s="835"/>
      <c r="K381" s="835"/>
      <c r="L381" s="835"/>
      <c r="M381" s="836"/>
      <c r="N381" s="834" t="str">
        <f>IFERROR(VLOOKUP($B381,기업명!$H$361:$AE$444,14,0),"")</f>
        <v/>
      </c>
      <c r="O381" s="835"/>
      <c r="P381" s="835"/>
      <c r="Q381" s="835"/>
      <c r="R381" s="835"/>
      <c r="S381" s="835"/>
      <c r="T381" s="835"/>
      <c r="U381" s="835"/>
      <c r="V381" s="836"/>
      <c r="W381" s="1053" t="str">
        <f>IFERROR(VLOOKUP($B381,기업명!$H$361:$AE$444,21,0),"")</f>
        <v/>
      </c>
      <c r="X381" s="1054"/>
      <c r="Y381" s="1055"/>
    </row>
    <row r="382" spans="2:25" ht="15.6" customHeight="1">
      <c r="B382" s="51">
        <v>46</v>
      </c>
      <c r="C382" s="834" t="str">
        <f>IFERROR(VLOOKUP($B382,기업명!$H$361:$AE$444,2,0),"")</f>
        <v/>
      </c>
      <c r="D382" s="835"/>
      <c r="E382" s="836"/>
      <c r="F382" s="834" t="str">
        <f>IFERROR(VLOOKUP($B382,기업명!$H$361:$AE$444,4,0),"")</f>
        <v/>
      </c>
      <c r="G382" s="835"/>
      <c r="H382" s="836"/>
      <c r="I382" s="834" t="str">
        <f>IFERROR(VLOOKUP($B382,기업명!$H$361:$AE$444,7,0),"")</f>
        <v/>
      </c>
      <c r="J382" s="835"/>
      <c r="K382" s="835"/>
      <c r="L382" s="835"/>
      <c r="M382" s="836"/>
      <c r="N382" s="834" t="str">
        <f>IFERROR(VLOOKUP($B382,기업명!$H$361:$AE$444,14,0),"")</f>
        <v/>
      </c>
      <c r="O382" s="835"/>
      <c r="P382" s="835"/>
      <c r="Q382" s="835"/>
      <c r="R382" s="835"/>
      <c r="S382" s="835"/>
      <c r="T382" s="835"/>
      <c r="U382" s="835"/>
      <c r="V382" s="836"/>
      <c r="W382" s="1053" t="str">
        <f>IFERROR(VLOOKUP($B382,기업명!$H$361:$AE$444,21,0),"")</f>
        <v/>
      </c>
      <c r="X382" s="1054"/>
      <c r="Y382" s="1055"/>
    </row>
    <row r="383" spans="2:25" ht="15.6" customHeight="1">
      <c r="B383" s="51">
        <v>47</v>
      </c>
      <c r="C383" s="834" t="str">
        <f>IFERROR(VLOOKUP($B383,기업명!$H$361:$AE$444,2,0),"")</f>
        <v/>
      </c>
      <c r="D383" s="835"/>
      <c r="E383" s="836"/>
      <c r="F383" s="834" t="str">
        <f>IFERROR(VLOOKUP($B383,기업명!$H$361:$AE$444,4,0),"")</f>
        <v/>
      </c>
      <c r="G383" s="835"/>
      <c r="H383" s="836"/>
      <c r="I383" s="834" t="str">
        <f>IFERROR(VLOOKUP($B383,기업명!$H$361:$AE$444,7,0),"")</f>
        <v/>
      </c>
      <c r="J383" s="835"/>
      <c r="K383" s="835"/>
      <c r="L383" s="835"/>
      <c r="M383" s="836"/>
      <c r="N383" s="834" t="str">
        <f>IFERROR(VLOOKUP($B383,기업명!$H$361:$AE$444,14,0),"")</f>
        <v/>
      </c>
      <c r="O383" s="835"/>
      <c r="P383" s="835"/>
      <c r="Q383" s="835"/>
      <c r="R383" s="835"/>
      <c r="S383" s="835"/>
      <c r="T383" s="835"/>
      <c r="U383" s="835"/>
      <c r="V383" s="836"/>
      <c r="W383" s="1053" t="str">
        <f>IFERROR(VLOOKUP($B383,기업명!$H$361:$AE$444,21,0),"")</f>
        <v/>
      </c>
      <c r="X383" s="1054"/>
      <c r="Y383" s="1055"/>
    </row>
    <row r="384" spans="2:25" ht="15.6" customHeight="1">
      <c r="B384" s="51">
        <v>48</v>
      </c>
      <c r="C384" s="834" t="str">
        <f>IFERROR(VLOOKUP($B384,기업명!$H$361:$AE$444,2,0),"")</f>
        <v/>
      </c>
      <c r="D384" s="835"/>
      <c r="E384" s="836"/>
      <c r="F384" s="834" t="str">
        <f>IFERROR(VLOOKUP($B384,기업명!$H$361:$AE$444,4,0),"")</f>
        <v/>
      </c>
      <c r="G384" s="835"/>
      <c r="H384" s="836"/>
      <c r="I384" s="834" t="str">
        <f>IFERROR(VLOOKUP($B384,기업명!$H$361:$AE$444,7,0),"")</f>
        <v/>
      </c>
      <c r="J384" s="835"/>
      <c r="K384" s="835"/>
      <c r="L384" s="835"/>
      <c r="M384" s="836"/>
      <c r="N384" s="834" t="str">
        <f>IFERROR(VLOOKUP($B384,기업명!$H$361:$AE$444,14,0),"")</f>
        <v/>
      </c>
      <c r="O384" s="835"/>
      <c r="P384" s="835"/>
      <c r="Q384" s="835"/>
      <c r="R384" s="835"/>
      <c r="S384" s="835"/>
      <c r="T384" s="835"/>
      <c r="U384" s="835"/>
      <c r="V384" s="836"/>
      <c r="W384" s="1053" t="str">
        <f>IFERROR(VLOOKUP($B384,기업명!$H$361:$AE$444,21,0),"")</f>
        <v/>
      </c>
      <c r="X384" s="1054"/>
      <c r="Y384" s="1055"/>
    </row>
    <row r="385" spans="2:25" ht="15.6" customHeight="1">
      <c r="B385" s="51">
        <v>49</v>
      </c>
      <c r="C385" s="834" t="str">
        <f>IFERROR(VLOOKUP($B385,기업명!$H$361:$AE$444,2,0),"")</f>
        <v/>
      </c>
      <c r="D385" s="835"/>
      <c r="E385" s="836"/>
      <c r="F385" s="834" t="str">
        <f>IFERROR(VLOOKUP($B385,기업명!$H$361:$AE$444,4,0),"")</f>
        <v/>
      </c>
      <c r="G385" s="835"/>
      <c r="H385" s="836"/>
      <c r="I385" s="834" t="str">
        <f>IFERROR(VLOOKUP($B385,기업명!$H$361:$AE$444,7,0),"")</f>
        <v/>
      </c>
      <c r="J385" s="835"/>
      <c r="K385" s="835"/>
      <c r="L385" s="835"/>
      <c r="M385" s="836"/>
      <c r="N385" s="834" t="str">
        <f>IFERROR(VLOOKUP($B385,기업명!$H$361:$AE$444,14,0),"")</f>
        <v/>
      </c>
      <c r="O385" s="835"/>
      <c r="P385" s="835"/>
      <c r="Q385" s="835"/>
      <c r="R385" s="835"/>
      <c r="S385" s="835"/>
      <c r="T385" s="835"/>
      <c r="U385" s="835"/>
      <c r="V385" s="836"/>
      <c r="W385" s="1053" t="str">
        <f>IFERROR(VLOOKUP($B385,기업명!$H$361:$AE$444,21,0),"")</f>
        <v/>
      </c>
      <c r="X385" s="1054"/>
      <c r="Y385" s="1055"/>
    </row>
    <row r="386" spans="2:25" ht="15.6" customHeight="1">
      <c r="B386" s="51">
        <v>50</v>
      </c>
      <c r="C386" s="834" t="str">
        <f>IFERROR(VLOOKUP($B386,기업명!$H$361:$AE$444,2,0),"")</f>
        <v/>
      </c>
      <c r="D386" s="835"/>
      <c r="E386" s="836"/>
      <c r="F386" s="834" t="str">
        <f>IFERROR(VLOOKUP($B386,기업명!$H$361:$AE$444,4,0),"")</f>
        <v/>
      </c>
      <c r="G386" s="835"/>
      <c r="H386" s="836"/>
      <c r="I386" s="834" t="str">
        <f>IFERROR(VLOOKUP($B386,기업명!$H$361:$AE$444,7,0),"")</f>
        <v/>
      </c>
      <c r="J386" s="835"/>
      <c r="K386" s="835"/>
      <c r="L386" s="835"/>
      <c r="M386" s="836"/>
      <c r="N386" s="834" t="str">
        <f>IFERROR(VLOOKUP($B386,기업명!$H$361:$AE$444,14,0),"")</f>
        <v/>
      </c>
      <c r="O386" s="835"/>
      <c r="P386" s="835"/>
      <c r="Q386" s="835"/>
      <c r="R386" s="835"/>
      <c r="S386" s="835"/>
      <c r="T386" s="835"/>
      <c r="U386" s="835"/>
      <c r="V386" s="836"/>
      <c r="W386" s="1053" t="str">
        <f>IFERROR(VLOOKUP($B386,기업명!$H$361:$AE$444,21,0),"")</f>
        <v/>
      </c>
      <c r="X386" s="1054"/>
      <c r="Y386" s="1055"/>
    </row>
    <row r="387" spans="2:25" ht="15.6" customHeight="1">
      <c r="B387" s="51">
        <v>51</v>
      </c>
      <c r="C387" s="834" t="str">
        <f>IFERROR(VLOOKUP($B387,기업명!$H$361:$AE$444,2,0),"")</f>
        <v/>
      </c>
      <c r="D387" s="835"/>
      <c r="E387" s="836"/>
      <c r="F387" s="834" t="str">
        <f>IFERROR(VLOOKUP($B387,기업명!$H$361:$AE$444,4,0),"")</f>
        <v/>
      </c>
      <c r="G387" s="835"/>
      <c r="H387" s="836"/>
      <c r="I387" s="834" t="str">
        <f>IFERROR(VLOOKUP($B387,기업명!$H$361:$AE$444,7,0),"")</f>
        <v/>
      </c>
      <c r="J387" s="835"/>
      <c r="K387" s="835"/>
      <c r="L387" s="835"/>
      <c r="M387" s="836"/>
      <c r="N387" s="834" t="str">
        <f>IFERROR(VLOOKUP($B387,기업명!$H$361:$AE$444,14,0),"")</f>
        <v/>
      </c>
      <c r="O387" s="835"/>
      <c r="P387" s="835"/>
      <c r="Q387" s="835"/>
      <c r="R387" s="835"/>
      <c r="S387" s="835"/>
      <c r="T387" s="835"/>
      <c r="U387" s="835"/>
      <c r="V387" s="836"/>
      <c r="W387" s="1053" t="str">
        <f>IFERROR(VLOOKUP($B387,기업명!$H$361:$AE$444,21,0),"")</f>
        <v/>
      </c>
      <c r="X387" s="1054"/>
      <c r="Y387" s="1055"/>
    </row>
    <row r="388" spans="2:25" ht="15.6" customHeight="1">
      <c r="B388" s="51">
        <v>52</v>
      </c>
      <c r="C388" s="834" t="str">
        <f>IFERROR(VLOOKUP($B388,기업명!$H$361:$AE$444,2,0),"")</f>
        <v/>
      </c>
      <c r="D388" s="835"/>
      <c r="E388" s="836"/>
      <c r="F388" s="834" t="str">
        <f>IFERROR(VLOOKUP($B388,기업명!$H$361:$AE$444,4,0),"")</f>
        <v/>
      </c>
      <c r="G388" s="835"/>
      <c r="H388" s="836"/>
      <c r="I388" s="834" t="str">
        <f>IFERROR(VLOOKUP($B388,기업명!$H$361:$AE$444,7,0),"")</f>
        <v/>
      </c>
      <c r="J388" s="835"/>
      <c r="K388" s="835"/>
      <c r="L388" s="835"/>
      <c r="M388" s="836"/>
      <c r="N388" s="834" t="str">
        <f>IFERROR(VLOOKUP($B388,기업명!$H$361:$AE$444,14,0),"")</f>
        <v/>
      </c>
      <c r="O388" s="835"/>
      <c r="P388" s="835"/>
      <c r="Q388" s="835"/>
      <c r="R388" s="835"/>
      <c r="S388" s="835"/>
      <c r="T388" s="835"/>
      <c r="U388" s="835"/>
      <c r="V388" s="836"/>
      <c r="W388" s="1053" t="str">
        <f>IFERROR(VLOOKUP($B388,기업명!$H$361:$AE$444,21,0),"")</f>
        <v/>
      </c>
      <c r="X388" s="1054"/>
      <c r="Y388" s="1055"/>
    </row>
    <row r="389" spans="2:25" ht="15.6" customHeight="1">
      <c r="B389" s="51">
        <v>53</v>
      </c>
      <c r="C389" s="834" t="str">
        <f>IFERROR(VLOOKUP($B389,기업명!$H$361:$AE$444,2,0),"")</f>
        <v/>
      </c>
      <c r="D389" s="835"/>
      <c r="E389" s="836"/>
      <c r="F389" s="834" t="str">
        <f>IFERROR(VLOOKUP($B389,기업명!$H$361:$AE$444,4,0),"")</f>
        <v/>
      </c>
      <c r="G389" s="835"/>
      <c r="H389" s="836"/>
      <c r="I389" s="834" t="str">
        <f>IFERROR(VLOOKUP($B389,기업명!$H$361:$AE$444,7,0),"")</f>
        <v/>
      </c>
      <c r="J389" s="835"/>
      <c r="K389" s="835"/>
      <c r="L389" s="835"/>
      <c r="M389" s="836"/>
      <c r="N389" s="834" t="str">
        <f>IFERROR(VLOOKUP($B389,기업명!$H$361:$AE$444,14,0),"")</f>
        <v/>
      </c>
      <c r="O389" s="835"/>
      <c r="P389" s="835"/>
      <c r="Q389" s="835"/>
      <c r="R389" s="835"/>
      <c r="S389" s="835"/>
      <c r="T389" s="835"/>
      <c r="U389" s="835"/>
      <c r="V389" s="836"/>
      <c r="W389" s="1053" t="str">
        <f>IFERROR(VLOOKUP($B389,기업명!$H$361:$AE$444,21,0),"")</f>
        <v/>
      </c>
      <c r="X389" s="1054"/>
      <c r="Y389" s="1055"/>
    </row>
    <row r="390" spans="2:25" ht="15.6" customHeight="1">
      <c r="B390" s="51">
        <v>54</v>
      </c>
      <c r="C390" s="834" t="str">
        <f>IFERROR(VLOOKUP($B390,기업명!$H$361:$AE$444,2,0),"")</f>
        <v/>
      </c>
      <c r="D390" s="835"/>
      <c r="E390" s="836"/>
      <c r="F390" s="834" t="str">
        <f>IFERROR(VLOOKUP($B390,기업명!$H$361:$AE$444,4,0),"")</f>
        <v/>
      </c>
      <c r="G390" s="835"/>
      <c r="H390" s="836"/>
      <c r="I390" s="834" t="str">
        <f>IFERROR(VLOOKUP($B390,기업명!$H$361:$AE$444,7,0),"")</f>
        <v/>
      </c>
      <c r="J390" s="835"/>
      <c r="K390" s="835"/>
      <c r="L390" s="835"/>
      <c r="M390" s="836"/>
      <c r="N390" s="834" t="str">
        <f>IFERROR(VLOOKUP($B390,기업명!$H$361:$AE$444,14,0),"")</f>
        <v/>
      </c>
      <c r="O390" s="835"/>
      <c r="P390" s="835"/>
      <c r="Q390" s="835"/>
      <c r="R390" s="835"/>
      <c r="S390" s="835"/>
      <c r="T390" s="835"/>
      <c r="U390" s="835"/>
      <c r="V390" s="836"/>
      <c r="W390" s="1053" t="str">
        <f>IFERROR(VLOOKUP($B390,기업명!$H$361:$AE$444,21,0),"")</f>
        <v/>
      </c>
      <c r="X390" s="1054"/>
      <c r="Y390" s="1055"/>
    </row>
    <row r="391" spans="2:25" ht="15.6" customHeight="1">
      <c r="B391" s="51">
        <v>55</v>
      </c>
      <c r="C391" s="834" t="str">
        <f>IFERROR(VLOOKUP($B391,기업명!$H$361:$AE$444,2,0),"")</f>
        <v/>
      </c>
      <c r="D391" s="835"/>
      <c r="E391" s="836"/>
      <c r="F391" s="834" t="str">
        <f>IFERROR(VLOOKUP($B391,기업명!$H$361:$AE$444,4,0),"")</f>
        <v/>
      </c>
      <c r="G391" s="835"/>
      <c r="H391" s="836"/>
      <c r="I391" s="834" t="str">
        <f>IFERROR(VLOOKUP($B391,기업명!$H$361:$AE$444,7,0),"")</f>
        <v/>
      </c>
      <c r="J391" s="835"/>
      <c r="K391" s="835"/>
      <c r="L391" s="835"/>
      <c r="M391" s="836"/>
      <c r="N391" s="834" t="str">
        <f>IFERROR(VLOOKUP($B391,기업명!$H$361:$AE$444,14,0),"")</f>
        <v/>
      </c>
      <c r="O391" s="835"/>
      <c r="P391" s="835"/>
      <c r="Q391" s="835"/>
      <c r="R391" s="835"/>
      <c r="S391" s="835"/>
      <c r="T391" s="835"/>
      <c r="U391" s="835"/>
      <c r="V391" s="836"/>
      <c r="W391" s="1053" t="str">
        <f>IFERROR(VLOOKUP($B391,기업명!$H$361:$AE$444,21,0),"")</f>
        <v/>
      </c>
      <c r="X391" s="1054"/>
      <c r="Y391" s="1055"/>
    </row>
    <row r="392" spans="2:25" ht="15.6" customHeight="1">
      <c r="B392" s="51">
        <v>56</v>
      </c>
      <c r="C392" s="834" t="str">
        <f>IFERROR(VLOOKUP($B392,기업명!$H$361:$AE$444,2,0),"")</f>
        <v/>
      </c>
      <c r="D392" s="835"/>
      <c r="E392" s="836"/>
      <c r="F392" s="834" t="str">
        <f>IFERROR(VLOOKUP($B392,기업명!$H$361:$AE$444,4,0),"")</f>
        <v/>
      </c>
      <c r="G392" s="835"/>
      <c r="H392" s="836"/>
      <c r="I392" s="834" t="str">
        <f>IFERROR(VLOOKUP($B392,기업명!$H$361:$AE$444,7,0),"")</f>
        <v/>
      </c>
      <c r="J392" s="835"/>
      <c r="K392" s="835"/>
      <c r="L392" s="835"/>
      <c r="M392" s="836"/>
      <c r="N392" s="834" t="str">
        <f>IFERROR(VLOOKUP($B392,기업명!$H$361:$AE$444,14,0),"")</f>
        <v/>
      </c>
      <c r="O392" s="835"/>
      <c r="P392" s="835"/>
      <c r="Q392" s="835"/>
      <c r="R392" s="835"/>
      <c r="S392" s="835"/>
      <c r="T392" s="835"/>
      <c r="U392" s="835"/>
      <c r="V392" s="836"/>
      <c r="W392" s="1053" t="str">
        <f>IFERROR(VLOOKUP($B392,기업명!$H$361:$AE$444,21,0),"")</f>
        <v/>
      </c>
      <c r="X392" s="1054"/>
      <c r="Y392" s="1055"/>
    </row>
    <row r="393" spans="2:25" ht="15.6" customHeight="1">
      <c r="B393" s="51">
        <v>57</v>
      </c>
      <c r="C393" s="834" t="str">
        <f>IFERROR(VLOOKUP($B393,기업명!$H$361:$AE$444,2,0),"")</f>
        <v/>
      </c>
      <c r="D393" s="835"/>
      <c r="E393" s="836"/>
      <c r="F393" s="834" t="str">
        <f>IFERROR(VLOOKUP($B393,기업명!$H$361:$AE$444,4,0),"")</f>
        <v/>
      </c>
      <c r="G393" s="835"/>
      <c r="H393" s="836"/>
      <c r="I393" s="834" t="str">
        <f>IFERROR(VLOOKUP($B393,기업명!$H$361:$AE$444,7,0),"")</f>
        <v/>
      </c>
      <c r="J393" s="835"/>
      <c r="K393" s="835"/>
      <c r="L393" s="835"/>
      <c r="M393" s="836"/>
      <c r="N393" s="834" t="str">
        <f>IFERROR(VLOOKUP($B393,기업명!$H$361:$AE$444,14,0),"")</f>
        <v/>
      </c>
      <c r="O393" s="835"/>
      <c r="P393" s="835"/>
      <c r="Q393" s="835"/>
      <c r="R393" s="835"/>
      <c r="S393" s="835"/>
      <c r="T393" s="835"/>
      <c r="U393" s="835"/>
      <c r="V393" s="836"/>
      <c r="W393" s="1053" t="str">
        <f>IFERROR(VLOOKUP($B393,기업명!$H$361:$AE$444,21,0),"")</f>
        <v/>
      </c>
      <c r="X393" s="1054"/>
      <c r="Y393" s="1055"/>
    </row>
    <row r="394" spans="2:25" ht="15.6" customHeight="1">
      <c r="B394" s="51">
        <v>58</v>
      </c>
      <c r="C394" s="834" t="str">
        <f>IFERROR(VLOOKUP($B394,기업명!$H$361:$AE$444,2,0),"")</f>
        <v/>
      </c>
      <c r="D394" s="835"/>
      <c r="E394" s="836"/>
      <c r="F394" s="834" t="str">
        <f>IFERROR(VLOOKUP($B394,기업명!$H$361:$AE$444,4,0),"")</f>
        <v/>
      </c>
      <c r="G394" s="835"/>
      <c r="H394" s="836"/>
      <c r="I394" s="834" t="str">
        <f>IFERROR(VLOOKUP($B394,기업명!$H$361:$AE$444,7,0),"")</f>
        <v/>
      </c>
      <c r="J394" s="835"/>
      <c r="K394" s="835"/>
      <c r="L394" s="835"/>
      <c r="M394" s="836"/>
      <c r="N394" s="834" t="str">
        <f>IFERROR(VLOOKUP($B394,기업명!$H$361:$AE$444,14,0),"")</f>
        <v/>
      </c>
      <c r="O394" s="835"/>
      <c r="P394" s="835"/>
      <c r="Q394" s="835"/>
      <c r="R394" s="835"/>
      <c r="S394" s="835"/>
      <c r="T394" s="835"/>
      <c r="U394" s="835"/>
      <c r="V394" s="836"/>
      <c r="W394" s="1053" t="str">
        <f>IFERROR(VLOOKUP($B394,기업명!$H$361:$AE$444,21,0),"")</f>
        <v/>
      </c>
      <c r="X394" s="1054"/>
      <c r="Y394" s="1055"/>
    </row>
    <row r="395" spans="2:25" ht="15.6" customHeight="1">
      <c r="B395" s="51">
        <v>59</v>
      </c>
      <c r="C395" s="834" t="str">
        <f>IFERROR(VLOOKUP($B395,기업명!$H$361:$AE$444,2,0),"")</f>
        <v/>
      </c>
      <c r="D395" s="835"/>
      <c r="E395" s="836"/>
      <c r="F395" s="834" t="str">
        <f>IFERROR(VLOOKUP($B395,기업명!$H$361:$AE$444,4,0),"")</f>
        <v/>
      </c>
      <c r="G395" s="835"/>
      <c r="H395" s="836"/>
      <c r="I395" s="834" t="str">
        <f>IFERROR(VLOOKUP($B395,기업명!$H$361:$AE$444,7,0),"")</f>
        <v/>
      </c>
      <c r="J395" s="835"/>
      <c r="K395" s="835"/>
      <c r="L395" s="835"/>
      <c r="M395" s="836"/>
      <c r="N395" s="834" t="str">
        <f>IFERROR(VLOOKUP($B395,기업명!$H$361:$AE$444,14,0),"")</f>
        <v/>
      </c>
      <c r="O395" s="835"/>
      <c r="P395" s="835"/>
      <c r="Q395" s="835"/>
      <c r="R395" s="835"/>
      <c r="S395" s="835"/>
      <c r="T395" s="835"/>
      <c r="U395" s="835"/>
      <c r="V395" s="836"/>
      <c r="W395" s="1053" t="str">
        <f>IFERROR(VLOOKUP($B395,기업명!$H$361:$AE$444,21,0),"")</f>
        <v/>
      </c>
      <c r="X395" s="1054"/>
      <c r="Y395" s="1055"/>
    </row>
    <row r="396" spans="2:25" ht="15.6" customHeight="1">
      <c r="B396" s="51">
        <v>60</v>
      </c>
      <c r="C396" s="834" t="str">
        <f>IFERROR(VLOOKUP($B396,기업명!$H$361:$AE$444,2,0),"")</f>
        <v/>
      </c>
      <c r="D396" s="835"/>
      <c r="E396" s="836"/>
      <c r="F396" s="834" t="str">
        <f>IFERROR(VLOOKUP($B396,기업명!$H$361:$AE$444,4,0),"")</f>
        <v/>
      </c>
      <c r="G396" s="835"/>
      <c r="H396" s="836"/>
      <c r="I396" s="834" t="str">
        <f>IFERROR(VLOOKUP($B396,기업명!$H$361:$AE$444,7,0),"")</f>
        <v/>
      </c>
      <c r="J396" s="835"/>
      <c r="K396" s="835"/>
      <c r="L396" s="835"/>
      <c r="M396" s="836"/>
      <c r="N396" s="834" t="str">
        <f>IFERROR(VLOOKUP($B396,기업명!$H$361:$AE$444,14,0),"")</f>
        <v/>
      </c>
      <c r="O396" s="835"/>
      <c r="P396" s="835"/>
      <c r="Q396" s="835"/>
      <c r="R396" s="835"/>
      <c r="S396" s="835"/>
      <c r="T396" s="835"/>
      <c r="U396" s="835"/>
      <c r="V396" s="836"/>
      <c r="W396" s="1053" t="str">
        <f>IFERROR(VLOOKUP($B396,기업명!$H$361:$AE$444,21,0),"")</f>
        <v/>
      </c>
      <c r="X396" s="1054"/>
      <c r="Y396" s="1055"/>
    </row>
    <row r="397" spans="2:25" ht="15.6" customHeight="1">
      <c r="B397" s="51">
        <v>61</v>
      </c>
      <c r="C397" s="834" t="str">
        <f>IFERROR(VLOOKUP($B397,기업명!$H$361:$AE$444,2,0),"")</f>
        <v/>
      </c>
      <c r="D397" s="835"/>
      <c r="E397" s="836"/>
      <c r="F397" s="834" t="str">
        <f>IFERROR(VLOOKUP($B397,기업명!$H$361:$AE$444,4,0),"")</f>
        <v/>
      </c>
      <c r="G397" s="835"/>
      <c r="H397" s="836"/>
      <c r="I397" s="834" t="str">
        <f>IFERROR(VLOOKUP($B397,기업명!$H$361:$AE$444,7,0),"")</f>
        <v/>
      </c>
      <c r="J397" s="835"/>
      <c r="K397" s="835"/>
      <c r="L397" s="835"/>
      <c r="M397" s="836"/>
      <c r="N397" s="834" t="str">
        <f>IFERROR(VLOOKUP($B397,기업명!$H$361:$AE$444,14,0),"")</f>
        <v/>
      </c>
      <c r="O397" s="835"/>
      <c r="P397" s="835"/>
      <c r="Q397" s="835"/>
      <c r="R397" s="835"/>
      <c r="S397" s="835"/>
      <c r="T397" s="835"/>
      <c r="U397" s="835"/>
      <c r="V397" s="836"/>
      <c r="W397" s="1053" t="str">
        <f>IFERROR(VLOOKUP($B397,기업명!$H$361:$AE$444,21,0),"")</f>
        <v/>
      </c>
      <c r="X397" s="1054"/>
      <c r="Y397" s="1055"/>
    </row>
    <row r="398" spans="2:25" ht="15.6" customHeight="1">
      <c r="B398" s="51">
        <v>62</v>
      </c>
      <c r="C398" s="834" t="str">
        <f>IFERROR(VLOOKUP($B398,기업명!$H$361:$AE$444,2,0),"")</f>
        <v/>
      </c>
      <c r="D398" s="835"/>
      <c r="E398" s="836"/>
      <c r="F398" s="834" t="str">
        <f>IFERROR(VLOOKUP($B398,기업명!$H$361:$AE$444,4,0),"")</f>
        <v/>
      </c>
      <c r="G398" s="835"/>
      <c r="H398" s="836"/>
      <c r="I398" s="834" t="str">
        <f>IFERROR(VLOOKUP($B398,기업명!$H$361:$AE$444,7,0),"")</f>
        <v/>
      </c>
      <c r="J398" s="835"/>
      <c r="K398" s="835"/>
      <c r="L398" s="835"/>
      <c r="M398" s="836"/>
      <c r="N398" s="834" t="str">
        <f>IFERROR(VLOOKUP($B398,기업명!$H$361:$AE$444,14,0),"")</f>
        <v/>
      </c>
      <c r="O398" s="835"/>
      <c r="P398" s="835"/>
      <c r="Q398" s="835"/>
      <c r="R398" s="835"/>
      <c r="S398" s="835"/>
      <c r="T398" s="835"/>
      <c r="U398" s="835"/>
      <c r="V398" s="836"/>
      <c r="W398" s="1053" t="str">
        <f>IFERROR(VLOOKUP($B398,기업명!$H$361:$AE$444,21,0),"")</f>
        <v/>
      </c>
      <c r="X398" s="1054"/>
      <c r="Y398" s="1055"/>
    </row>
    <row r="399" spans="2:25" ht="15.6" customHeight="1">
      <c r="B399" s="51">
        <v>63</v>
      </c>
      <c r="C399" s="834" t="str">
        <f>IFERROR(VLOOKUP($B399,기업명!$H$361:$AE$444,2,0),"")</f>
        <v/>
      </c>
      <c r="D399" s="835"/>
      <c r="E399" s="836"/>
      <c r="F399" s="834" t="str">
        <f>IFERROR(VLOOKUP($B399,기업명!$H$361:$AE$444,4,0),"")</f>
        <v/>
      </c>
      <c r="G399" s="835"/>
      <c r="H399" s="836"/>
      <c r="I399" s="834" t="str">
        <f>IFERROR(VLOOKUP($B399,기업명!$H$361:$AE$444,7,0),"")</f>
        <v/>
      </c>
      <c r="J399" s="835"/>
      <c r="K399" s="835"/>
      <c r="L399" s="835"/>
      <c r="M399" s="836"/>
      <c r="N399" s="834" t="str">
        <f>IFERROR(VLOOKUP($B399,기업명!$H$361:$AE$444,14,0),"")</f>
        <v/>
      </c>
      <c r="O399" s="835"/>
      <c r="P399" s="835"/>
      <c r="Q399" s="835"/>
      <c r="R399" s="835"/>
      <c r="S399" s="835"/>
      <c r="T399" s="835"/>
      <c r="U399" s="835"/>
      <c r="V399" s="836"/>
      <c r="W399" s="1053" t="str">
        <f>IFERROR(VLOOKUP($B399,기업명!$H$361:$AE$444,21,0),"")</f>
        <v/>
      </c>
      <c r="X399" s="1054"/>
      <c r="Y399" s="1055"/>
    </row>
    <row r="400" spans="2:25" ht="15.6" customHeight="1">
      <c r="B400" s="51">
        <v>64</v>
      </c>
      <c r="C400" s="834" t="str">
        <f>IFERROR(VLOOKUP($B400,기업명!$H$361:$AE$444,2,0),"")</f>
        <v/>
      </c>
      <c r="D400" s="835"/>
      <c r="E400" s="836"/>
      <c r="F400" s="834" t="str">
        <f>IFERROR(VLOOKUP($B400,기업명!$H$361:$AE$444,4,0),"")</f>
        <v/>
      </c>
      <c r="G400" s="835"/>
      <c r="H400" s="836"/>
      <c r="I400" s="834" t="str">
        <f>IFERROR(VLOOKUP($B400,기업명!$H$361:$AE$444,7,0),"")</f>
        <v/>
      </c>
      <c r="J400" s="835"/>
      <c r="K400" s="835"/>
      <c r="L400" s="835"/>
      <c r="M400" s="836"/>
      <c r="N400" s="834" t="str">
        <f>IFERROR(VLOOKUP($B400,기업명!$H$361:$AE$444,14,0),"")</f>
        <v/>
      </c>
      <c r="O400" s="835"/>
      <c r="P400" s="835"/>
      <c r="Q400" s="835"/>
      <c r="R400" s="835"/>
      <c r="S400" s="835"/>
      <c r="T400" s="835"/>
      <c r="U400" s="835"/>
      <c r="V400" s="836"/>
      <c r="W400" s="1053" t="str">
        <f>IFERROR(VLOOKUP($B400,기업명!$H$361:$AE$444,21,0),"")</f>
        <v/>
      </c>
      <c r="X400" s="1054"/>
      <c r="Y400" s="1055"/>
    </row>
    <row r="401" spans="2:25" ht="15.6" customHeight="1">
      <c r="B401" s="51">
        <v>65</v>
      </c>
      <c r="C401" s="834" t="str">
        <f>IFERROR(VLOOKUP($B401,기업명!$H$361:$AE$444,2,0),"")</f>
        <v/>
      </c>
      <c r="D401" s="835"/>
      <c r="E401" s="836"/>
      <c r="F401" s="834" t="str">
        <f>IFERROR(VLOOKUP($B401,기업명!$H$361:$AE$444,4,0),"")</f>
        <v/>
      </c>
      <c r="G401" s="835"/>
      <c r="H401" s="836"/>
      <c r="I401" s="834" t="str">
        <f>IFERROR(VLOOKUP($B401,기업명!$H$361:$AE$444,7,0),"")</f>
        <v/>
      </c>
      <c r="J401" s="835"/>
      <c r="K401" s="835"/>
      <c r="L401" s="835"/>
      <c r="M401" s="836"/>
      <c r="N401" s="834" t="str">
        <f>IFERROR(VLOOKUP($B401,기업명!$H$361:$AE$444,14,0),"")</f>
        <v/>
      </c>
      <c r="O401" s="835"/>
      <c r="P401" s="835"/>
      <c r="Q401" s="835"/>
      <c r="R401" s="835"/>
      <c r="S401" s="835"/>
      <c r="T401" s="835"/>
      <c r="U401" s="835"/>
      <c r="V401" s="836"/>
      <c r="W401" s="1053" t="str">
        <f>IFERROR(VLOOKUP($B401,기업명!$H$361:$AE$444,21,0),"")</f>
        <v/>
      </c>
      <c r="X401" s="1054"/>
      <c r="Y401" s="1055"/>
    </row>
    <row r="402" spans="2:25" ht="15.6" customHeight="1">
      <c r="B402" s="51">
        <v>66</v>
      </c>
      <c r="C402" s="834" t="str">
        <f>IFERROR(VLOOKUP($B402,기업명!$H$361:$AE$444,2,0),"")</f>
        <v/>
      </c>
      <c r="D402" s="835"/>
      <c r="E402" s="836"/>
      <c r="F402" s="834" t="str">
        <f>IFERROR(VLOOKUP($B402,기업명!$H$361:$AE$444,4,0),"")</f>
        <v/>
      </c>
      <c r="G402" s="835"/>
      <c r="H402" s="836"/>
      <c r="I402" s="834" t="str">
        <f>IFERROR(VLOOKUP($B402,기업명!$H$361:$AE$444,7,0),"")</f>
        <v/>
      </c>
      <c r="J402" s="835"/>
      <c r="K402" s="835"/>
      <c r="L402" s="835"/>
      <c r="M402" s="836"/>
      <c r="N402" s="834" t="str">
        <f>IFERROR(VLOOKUP($B402,기업명!$H$361:$AE$444,14,0),"")</f>
        <v/>
      </c>
      <c r="O402" s="835"/>
      <c r="P402" s="835"/>
      <c r="Q402" s="835"/>
      <c r="R402" s="835"/>
      <c r="S402" s="835"/>
      <c r="T402" s="835"/>
      <c r="U402" s="835"/>
      <c r="V402" s="836"/>
      <c r="W402" s="1053" t="str">
        <f>IFERROR(VLOOKUP($B402,기업명!$H$361:$AE$444,21,0),"")</f>
        <v/>
      </c>
      <c r="X402" s="1054"/>
      <c r="Y402" s="1055"/>
    </row>
    <row r="403" spans="2:25" ht="15.6" customHeight="1">
      <c r="B403" s="51">
        <v>67</v>
      </c>
      <c r="C403" s="834" t="str">
        <f>IFERROR(VLOOKUP($B403,기업명!$H$361:$AE$444,2,0),"")</f>
        <v/>
      </c>
      <c r="D403" s="835"/>
      <c r="E403" s="836"/>
      <c r="F403" s="834" t="str">
        <f>IFERROR(VLOOKUP($B403,기업명!$H$361:$AE$444,4,0),"")</f>
        <v/>
      </c>
      <c r="G403" s="835"/>
      <c r="H403" s="836"/>
      <c r="I403" s="834" t="str">
        <f>IFERROR(VLOOKUP($B403,기업명!$H$361:$AE$444,7,0),"")</f>
        <v/>
      </c>
      <c r="J403" s="835"/>
      <c r="K403" s="835"/>
      <c r="L403" s="835"/>
      <c r="M403" s="836"/>
      <c r="N403" s="834" t="str">
        <f>IFERROR(VLOOKUP($B403,기업명!$H$361:$AE$444,14,0),"")</f>
        <v/>
      </c>
      <c r="O403" s="835"/>
      <c r="P403" s="835"/>
      <c r="Q403" s="835"/>
      <c r="R403" s="835"/>
      <c r="S403" s="835"/>
      <c r="T403" s="835"/>
      <c r="U403" s="835"/>
      <c r="V403" s="836"/>
      <c r="W403" s="1053" t="str">
        <f>IFERROR(VLOOKUP($B403,기업명!$H$361:$AE$444,21,0),"")</f>
        <v/>
      </c>
      <c r="X403" s="1054"/>
      <c r="Y403" s="1055"/>
    </row>
    <row r="404" spans="2:25" ht="15.6" customHeight="1">
      <c r="B404" s="51">
        <v>68</v>
      </c>
      <c r="C404" s="834" t="str">
        <f>IFERROR(VLOOKUP($B404,기업명!$H$361:$AE$444,2,0),"")</f>
        <v/>
      </c>
      <c r="D404" s="835"/>
      <c r="E404" s="836"/>
      <c r="F404" s="834" t="str">
        <f>IFERROR(VLOOKUP($B404,기업명!$H$361:$AE$444,4,0),"")</f>
        <v/>
      </c>
      <c r="G404" s="835"/>
      <c r="H404" s="836"/>
      <c r="I404" s="834" t="str">
        <f>IFERROR(VLOOKUP($B404,기업명!$H$361:$AE$444,7,0),"")</f>
        <v/>
      </c>
      <c r="J404" s="835"/>
      <c r="K404" s="835"/>
      <c r="L404" s="835"/>
      <c r="M404" s="836"/>
      <c r="N404" s="834" t="str">
        <f>IFERROR(VLOOKUP($B404,기업명!$H$361:$AE$444,14,0),"")</f>
        <v/>
      </c>
      <c r="O404" s="835"/>
      <c r="P404" s="835"/>
      <c r="Q404" s="835"/>
      <c r="R404" s="835"/>
      <c r="S404" s="835"/>
      <c r="T404" s="835"/>
      <c r="U404" s="835"/>
      <c r="V404" s="836"/>
      <c r="W404" s="1053" t="str">
        <f>IFERROR(VLOOKUP($B404,기업명!$H$361:$AE$444,21,0),"")</f>
        <v/>
      </c>
      <c r="X404" s="1054"/>
      <c r="Y404" s="1055"/>
    </row>
    <row r="405" spans="2:25" ht="15.6" customHeight="1">
      <c r="B405" s="51">
        <v>69</v>
      </c>
      <c r="C405" s="834" t="str">
        <f>IFERROR(VLOOKUP($B405,기업명!$H$361:$AE$444,2,0),"")</f>
        <v/>
      </c>
      <c r="D405" s="835"/>
      <c r="E405" s="836"/>
      <c r="F405" s="834" t="str">
        <f>IFERROR(VLOOKUP($B405,기업명!$H$361:$AE$444,4,0),"")</f>
        <v/>
      </c>
      <c r="G405" s="835"/>
      <c r="H405" s="836"/>
      <c r="I405" s="834" t="str">
        <f>IFERROR(VLOOKUP($B405,기업명!$H$361:$AE$444,7,0),"")</f>
        <v/>
      </c>
      <c r="J405" s="835"/>
      <c r="K405" s="835"/>
      <c r="L405" s="835"/>
      <c r="M405" s="836"/>
      <c r="N405" s="834" t="str">
        <f>IFERROR(VLOOKUP($B405,기업명!$H$361:$AE$444,14,0),"")</f>
        <v/>
      </c>
      <c r="O405" s="835"/>
      <c r="P405" s="835"/>
      <c r="Q405" s="835"/>
      <c r="R405" s="835"/>
      <c r="S405" s="835"/>
      <c r="T405" s="835"/>
      <c r="U405" s="835"/>
      <c r="V405" s="836"/>
      <c r="W405" s="1053" t="str">
        <f>IFERROR(VLOOKUP($B405,기업명!$H$361:$AE$444,21,0),"")</f>
        <v/>
      </c>
      <c r="X405" s="1054"/>
      <c r="Y405" s="1055"/>
    </row>
    <row r="406" spans="2:25" ht="15.6" customHeight="1">
      <c r="B406" s="51">
        <v>70</v>
      </c>
      <c r="C406" s="834" t="str">
        <f>IFERROR(VLOOKUP($B406,기업명!$H$361:$AE$444,2,0),"")</f>
        <v/>
      </c>
      <c r="D406" s="835"/>
      <c r="E406" s="836"/>
      <c r="F406" s="834" t="str">
        <f>IFERROR(VLOOKUP($B406,기업명!$H$361:$AE$444,4,0),"")</f>
        <v/>
      </c>
      <c r="G406" s="835"/>
      <c r="H406" s="836"/>
      <c r="I406" s="834" t="str">
        <f>IFERROR(VLOOKUP($B406,기업명!$H$361:$AE$444,7,0),"")</f>
        <v/>
      </c>
      <c r="J406" s="835"/>
      <c r="K406" s="835"/>
      <c r="L406" s="835"/>
      <c r="M406" s="836"/>
      <c r="N406" s="834" t="str">
        <f>IFERROR(VLOOKUP($B406,기업명!$H$361:$AE$444,14,0),"")</f>
        <v/>
      </c>
      <c r="O406" s="835"/>
      <c r="P406" s="835"/>
      <c r="Q406" s="835"/>
      <c r="R406" s="835"/>
      <c r="S406" s="835"/>
      <c r="T406" s="835"/>
      <c r="U406" s="835"/>
      <c r="V406" s="836"/>
      <c r="W406" s="1053" t="str">
        <f>IFERROR(VLOOKUP($B406,기업명!$H$361:$AE$444,21,0),"")</f>
        <v/>
      </c>
      <c r="X406" s="1054"/>
      <c r="Y406" s="1055"/>
    </row>
    <row r="407" spans="2:25" ht="15.6" customHeight="1">
      <c r="B407" s="51">
        <v>71</v>
      </c>
      <c r="C407" s="834" t="str">
        <f>IFERROR(VLOOKUP($B407,기업명!$H$361:$AE$444,2,0),"")</f>
        <v/>
      </c>
      <c r="D407" s="835"/>
      <c r="E407" s="836"/>
      <c r="F407" s="834" t="str">
        <f>IFERROR(VLOOKUP($B407,기업명!$H$361:$AE$444,4,0),"")</f>
        <v/>
      </c>
      <c r="G407" s="835"/>
      <c r="H407" s="836"/>
      <c r="I407" s="834" t="str">
        <f>IFERROR(VLOOKUP($B407,기업명!$H$361:$AE$444,7,0),"")</f>
        <v/>
      </c>
      <c r="J407" s="835"/>
      <c r="K407" s="835"/>
      <c r="L407" s="835"/>
      <c r="M407" s="836"/>
      <c r="N407" s="834" t="str">
        <f>IFERROR(VLOOKUP($B407,기업명!$H$361:$AE$444,14,0),"")</f>
        <v/>
      </c>
      <c r="O407" s="835"/>
      <c r="P407" s="835"/>
      <c r="Q407" s="835"/>
      <c r="R407" s="835"/>
      <c r="S407" s="835"/>
      <c r="T407" s="835"/>
      <c r="U407" s="835"/>
      <c r="V407" s="836"/>
      <c r="W407" s="1053" t="str">
        <f>IFERROR(VLOOKUP($B407,기업명!$H$361:$AE$444,21,0),"")</f>
        <v/>
      </c>
      <c r="X407" s="1054"/>
      <c r="Y407" s="1055"/>
    </row>
    <row r="408" spans="2:25" ht="15.6" customHeight="1">
      <c r="B408" s="51">
        <v>72</v>
      </c>
      <c r="C408" s="834" t="str">
        <f>IFERROR(VLOOKUP($B408,기업명!$H$361:$AE$444,2,0),"")</f>
        <v/>
      </c>
      <c r="D408" s="835"/>
      <c r="E408" s="836"/>
      <c r="F408" s="834" t="str">
        <f>IFERROR(VLOOKUP($B408,기업명!$H$361:$AE$444,4,0),"")</f>
        <v/>
      </c>
      <c r="G408" s="835"/>
      <c r="H408" s="836"/>
      <c r="I408" s="834" t="str">
        <f>IFERROR(VLOOKUP($B408,기업명!$H$361:$AE$444,7,0),"")</f>
        <v/>
      </c>
      <c r="J408" s="835"/>
      <c r="K408" s="835"/>
      <c r="L408" s="835"/>
      <c r="M408" s="836"/>
      <c r="N408" s="834" t="str">
        <f>IFERROR(VLOOKUP($B408,기업명!$H$361:$AE$444,14,0),"")</f>
        <v/>
      </c>
      <c r="O408" s="835"/>
      <c r="P408" s="835"/>
      <c r="Q408" s="835"/>
      <c r="R408" s="835"/>
      <c r="S408" s="835"/>
      <c r="T408" s="835"/>
      <c r="U408" s="835"/>
      <c r="V408" s="836"/>
      <c r="W408" s="1053" t="str">
        <f>IFERROR(VLOOKUP($B408,기업명!$H$361:$AE$444,21,0),"")</f>
        <v/>
      </c>
      <c r="X408" s="1054"/>
      <c r="Y408" s="1055"/>
    </row>
    <row r="409" spans="2:25" ht="15.6" customHeight="1">
      <c r="B409" s="51">
        <v>73</v>
      </c>
      <c r="C409" s="834" t="str">
        <f>IFERROR(VLOOKUP($B409,기업명!$H$361:$AE$444,2,0),"")</f>
        <v/>
      </c>
      <c r="D409" s="835"/>
      <c r="E409" s="836"/>
      <c r="F409" s="834" t="str">
        <f>IFERROR(VLOOKUP($B409,기업명!$H$361:$AE$444,4,0),"")</f>
        <v/>
      </c>
      <c r="G409" s="835"/>
      <c r="H409" s="836"/>
      <c r="I409" s="834" t="str">
        <f>IFERROR(VLOOKUP($B409,기업명!$H$361:$AE$444,7,0),"")</f>
        <v/>
      </c>
      <c r="J409" s="835"/>
      <c r="K409" s="835"/>
      <c r="L409" s="835"/>
      <c r="M409" s="836"/>
      <c r="N409" s="834" t="str">
        <f>IFERROR(VLOOKUP($B409,기업명!$H$361:$AE$444,14,0),"")</f>
        <v/>
      </c>
      <c r="O409" s="835"/>
      <c r="P409" s="835"/>
      <c r="Q409" s="835"/>
      <c r="R409" s="835"/>
      <c r="S409" s="835"/>
      <c r="T409" s="835"/>
      <c r="U409" s="835"/>
      <c r="V409" s="836"/>
      <c r="W409" s="1053" t="str">
        <f>IFERROR(VLOOKUP($B409,기업명!$H$361:$AE$444,21,0),"")</f>
        <v/>
      </c>
      <c r="X409" s="1054"/>
      <c r="Y409" s="1055"/>
    </row>
    <row r="410" spans="2:25" ht="15.6" customHeight="1">
      <c r="B410" s="51">
        <v>74</v>
      </c>
      <c r="C410" s="834" t="str">
        <f>IFERROR(VLOOKUP($B410,기업명!$H$361:$AE$444,2,0),"")</f>
        <v/>
      </c>
      <c r="D410" s="835"/>
      <c r="E410" s="836"/>
      <c r="F410" s="834" t="str">
        <f>IFERROR(VLOOKUP($B410,기업명!$H$361:$AE$444,4,0),"")</f>
        <v/>
      </c>
      <c r="G410" s="835"/>
      <c r="H410" s="836"/>
      <c r="I410" s="834" t="str">
        <f>IFERROR(VLOOKUP($B410,기업명!$H$361:$AE$444,7,0),"")</f>
        <v/>
      </c>
      <c r="J410" s="835"/>
      <c r="K410" s="835"/>
      <c r="L410" s="835"/>
      <c r="M410" s="836"/>
      <c r="N410" s="834" t="str">
        <f>IFERROR(VLOOKUP($B410,기업명!$H$361:$AE$444,14,0),"")</f>
        <v/>
      </c>
      <c r="O410" s="835"/>
      <c r="P410" s="835"/>
      <c r="Q410" s="835"/>
      <c r="R410" s="835"/>
      <c r="S410" s="835"/>
      <c r="T410" s="835"/>
      <c r="U410" s="835"/>
      <c r="V410" s="836"/>
      <c r="W410" s="1053" t="str">
        <f>IFERROR(VLOOKUP($B410,기업명!$H$361:$AE$444,21,0),"")</f>
        <v/>
      </c>
      <c r="X410" s="1054"/>
      <c r="Y410" s="1055"/>
    </row>
    <row r="411" spans="2:25" ht="15.6" customHeight="1">
      <c r="B411" s="51">
        <v>75</v>
      </c>
      <c r="C411" s="834" t="str">
        <f>IFERROR(VLOOKUP($B411,기업명!$H$361:$AE$444,2,0),"")</f>
        <v/>
      </c>
      <c r="D411" s="835"/>
      <c r="E411" s="836"/>
      <c r="F411" s="834" t="str">
        <f>IFERROR(VLOOKUP($B411,기업명!$H$361:$AE$444,4,0),"")</f>
        <v/>
      </c>
      <c r="G411" s="835"/>
      <c r="H411" s="836"/>
      <c r="I411" s="834" t="str">
        <f>IFERROR(VLOOKUP($B411,기업명!$H$361:$AE$444,7,0),"")</f>
        <v/>
      </c>
      <c r="J411" s="835"/>
      <c r="K411" s="835"/>
      <c r="L411" s="835"/>
      <c r="M411" s="836"/>
      <c r="N411" s="834" t="str">
        <f>IFERROR(VLOOKUP($B411,기업명!$H$361:$AE$444,14,0),"")</f>
        <v/>
      </c>
      <c r="O411" s="835"/>
      <c r="P411" s="835"/>
      <c r="Q411" s="835"/>
      <c r="R411" s="835"/>
      <c r="S411" s="835"/>
      <c r="T411" s="835"/>
      <c r="U411" s="835"/>
      <c r="V411" s="836"/>
      <c r="W411" s="1053" t="str">
        <f>IFERROR(VLOOKUP($B411,기업명!$H$361:$AE$444,21,0),"")</f>
        <v/>
      </c>
      <c r="X411" s="1054"/>
      <c r="Y411" s="1055"/>
    </row>
    <row r="412" spans="2:25" ht="15.6" customHeight="1">
      <c r="B412" s="51">
        <v>76</v>
      </c>
      <c r="C412" s="834" t="str">
        <f>IFERROR(VLOOKUP($B412,기업명!$H$361:$AE$444,2,0),"")</f>
        <v/>
      </c>
      <c r="D412" s="835"/>
      <c r="E412" s="836"/>
      <c r="F412" s="834" t="str">
        <f>IFERROR(VLOOKUP($B412,기업명!$H$361:$AE$444,4,0),"")</f>
        <v/>
      </c>
      <c r="G412" s="835"/>
      <c r="H412" s="836"/>
      <c r="I412" s="834" t="str">
        <f>IFERROR(VLOOKUP($B412,기업명!$H$361:$AE$444,7,0),"")</f>
        <v/>
      </c>
      <c r="J412" s="835"/>
      <c r="K412" s="835"/>
      <c r="L412" s="835"/>
      <c r="M412" s="836"/>
      <c r="N412" s="834" t="str">
        <f>IFERROR(VLOOKUP($B412,기업명!$H$361:$AE$444,14,0),"")</f>
        <v/>
      </c>
      <c r="O412" s="835"/>
      <c r="P412" s="835"/>
      <c r="Q412" s="835"/>
      <c r="R412" s="835"/>
      <c r="S412" s="835"/>
      <c r="T412" s="835"/>
      <c r="U412" s="835"/>
      <c r="V412" s="836"/>
      <c r="W412" s="1053" t="str">
        <f>IFERROR(VLOOKUP($B412,기업명!$H$361:$AE$444,21,0),"")</f>
        <v/>
      </c>
      <c r="X412" s="1054"/>
      <c r="Y412" s="1055"/>
    </row>
    <row r="413" spans="2:25" ht="15.6" customHeight="1">
      <c r="B413" s="51">
        <v>77</v>
      </c>
      <c r="C413" s="834" t="str">
        <f>IFERROR(VLOOKUP($B413,기업명!$H$361:$AE$444,2,0),"")</f>
        <v/>
      </c>
      <c r="D413" s="835"/>
      <c r="E413" s="836"/>
      <c r="F413" s="834" t="str">
        <f>IFERROR(VLOOKUP($B413,기업명!$H$361:$AE$444,4,0),"")</f>
        <v/>
      </c>
      <c r="G413" s="835"/>
      <c r="H413" s="836"/>
      <c r="I413" s="834" t="str">
        <f>IFERROR(VLOOKUP($B413,기업명!$H$361:$AE$444,7,0),"")</f>
        <v/>
      </c>
      <c r="J413" s="835"/>
      <c r="K413" s="835"/>
      <c r="L413" s="835"/>
      <c r="M413" s="836"/>
      <c r="N413" s="834" t="str">
        <f>IFERROR(VLOOKUP($B413,기업명!$H$361:$AE$444,14,0),"")</f>
        <v/>
      </c>
      <c r="O413" s="835"/>
      <c r="P413" s="835"/>
      <c r="Q413" s="835"/>
      <c r="R413" s="835"/>
      <c r="S413" s="835"/>
      <c r="T413" s="835"/>
      <c r="U413" s="835"/>
      <c r="V413" s="836"/>
      <c r="W413" s="1053" t="str">
        <f>IFERROR(VLOOKUP($B413,기업명!$H$361:$AE$444,21,0),"")</f>
        <v/>
      </c>
      <c r="X413" s="1054"/>
      <c r="Y413" s="1055"/>
    </row>
    <row r="414" spans="2:25" ht="15.6" customHeight="1">
      <c r="B414" s="51">
        <v>78</v>
      </c>
      <c r="C414" s="834" t="str">
        <f>IFERROR(VLOOKUP($B414,기업명!$H$361:$AE$444,2,0),"")</f>
        <v/>
      </c>
      <c r="D414" s="835"/>
      <c r="E414" s="836"/>
      <c r="F414" s="834" t="str">
        <f>IFERROR(VLOOKUP($B414,기업명!$H$361:$AE$444,4,0),"")</f>
        <v/>
      </c>
      <c r="G414" s="835"/>
      <c r="H414" s="836"/>
      <c r="I414" s="834" t="str">
        <f>IFERROR(VLOOKUP($B414,기업명!$H$361:$AE$444,7,0),"")</f>
        <v/>
      </c>
      <c r="J414" s="835"/>
      <c r="K414" s="835"/>
      <c r="L414" s="835"/>
      <c r="M414" s="836"/>
      <c r="N414" s="834" t="str">
        <f>IFERROR(VLOOKUP($B414,기업명!$H$361:$AE$444,14,0),"")</f>
        <v/>
      </c>
      <c r="O414" s="835"/>
      <c r="P414" s="835"/>
      <c r="Q414" s="835"/>
      <c r="R414" s="835"/>
      <c r="S414" s="835"/>
      <c r="T414" s="835"/>
      <c r="U414" s="835"/>
      <c r="V414" s="836"/>
      <c r="W414" s="1053" t="str">
        <f>IFERROR(VLOOKUP($B414,기업명!$H$361:$AE$444,21,0),"")</f>
        <v/>
      </c>
      <c r="X414" s="1054"/>
      <c r="Y414" s="1055"/>
    </row>
    <row r="415" spans="2:25" ht="15.6" customHeight="1">
      <c r="B415" s="51">
        <v>79</v>
      </c>
      <c r="C415" s="834" t="str">
        <f>IFERROR(VLOOKUP($B415,기업명!$H$361:$AE$444,2,0),"")</f>
        <v/>
      </c>
      <c r="D415" s="835"/>
      <c r="E415" s="836"/>
      <c r="F415" s="834" t="str">
        <f>IFERROR(VLOOKUP($B415,기업명!$H$361:$AE$444,4,0),"")</f>
        <v/>
      </c>
      <c r="G415" s="835"/>
      <c r="H415" s="836"/>
      <c r="I415" s="834" t="str">
        <f>IFERROR(VLOOKUP($B415,기업명!$H$361:$AE$444,7,0),"")</f>
        <v/>
      </c>
      <c r="J415" s="835"/>
      <c r="K415" s="835"/>
      <c r="L415" s="835"/>
      <c r="M415" s="836"/>
      <c r="N415" s="834" t="str">
        <f>IFERROR(VLOOKUP($B415,기업명!$H$361:$AE$444,14,0),"")</f>
        <v/>
      </c>
      <c r="O415" s="835"/>
      <c r="P415" s="835"/>
      <c r="Q415" s="835"/>
      <c r="R415" s="835"/>
      <c r="S415" s="835"/>
      <c r="T415" s="835"/>
      <c r="U415" s="835"/>
      <c r="V415" s="836"/>
      <c r="W415" s="1053" t="str">
        <f>IFERROR(VLOOKUP($B415,기업명!$H$361:$AE$444,21,0),"")</f>
        <v/>
      </c>
      <c r="X415" s="1054"/>
      <c r="Y415" s="1055"/>
    </row>
    <row r="416" spans="2:25" ht="15.6" customHeight="1">
      <c r="B416" s="51">
        <v>80</v>
      </c>
      <c r="C416" s="834" t="str">
        <f>IFERROR(VLOOKUP($B416,기업명!$H$361:$AE$444,2,0),"")</f>
        <v/>
      </c>
      <c r="D416" s="835"/>
      <c r="E416" s="836"/>
      <c r="F416" s="834" t="str">
        <f>IFERROR(VLOOKUP($B416,기업명!$H$361:$AE$444,4,0),"")</f>
        <v/>
      </c>
      <c r="G416" s="835"/>
      <c r="H416" s="836"/>
      <c r="I416" s="834" t="str">
        <f>IFERROR(VLOOKUP($B416,기업명!$H$361:$AE$444,7,0),"")</f>
        <v/>
      </c>
      <c r="J416" s="835"/>
      <c r="K416" s="835"/>
      <c r="L416" s="835"/>
      <c r="M416" s="836"/>
      <c r="N416" s="834" t="str">
        <f>IFERROR(VLOOKUP($B416,기업명!$H$361:$AE$444,14,0),"")</f>
        <v/>
      </c>
      <c r="O416" s="835"/>
      <c r="P416" s="835"/>
      <c r="Q416" s="835"/>
      <c r="R416" s="835"/>
      <c r="S416" s="835"/>
      <c r="T416" s="835"/>
      <c r="U416" s="835"/>
      <c r="V416" s="836"/>
      <c r="W416" s="1053" t="str">
        <f>IFERROR(VLOOKUP($B416,기업명!$H$361:$AE$444,21,0),"")</f>
        <v/>
      </c>
      <c r="X416" s="1054"/>
      <c r="Y416" s="1055"/>
    </row>
    <row r="417" spans="2:25" ht="15.6" customHeight="1">
      <c r="B417" s="51">
        <v>81</v>
      </c>
      <c r="C417" s="834" t="str">
        <f>IFERROR(VLOOKUP($B417,기업명!$H$361:$AE$444,2,0),"")</f>
        <v/>
      </c>
      <c r="D417" s="835"/>
      <c r="E417" s="836"/>
      <c r="F417" s="834" t="str">
        <f>IFERROR(VLOOKUP($B417,기업명!$H$361:$AE$444,4,0),"")</f>
        <v/>
      </c>
      <c r="G417" s="835"/>
      <c r="H417" s="836"/>
      <c r="I417" s="834" t="str">
        <f>IFERROR(VLOOKUP($B417,기업명!$H$361:$AE$444,7,0),"")</f>
        <v/>
      </c>
      <c r="J417" s="835"/>
      <c r="K417" s="835"/>
      <c r="L417" s="835"/>
      <c r="M417" s="836"/>
      <c r="N417" s="834" t="str">
        <f>IFERROR(VLOOKUP($B417,기업명!$H$361:$AE$444,14,0),"")</f>
        <v/>
      </c>
      <c r="O417" s="835"/>
      <c r="P417" s="835"/>
      <c r="Q417" s="835"/>
      <c r="R417" s="835"/>
      <c r="S417" s="835"/>
      <c r="T417" s="835"/>
      <c r="U417" s="835"/>
      <c r="V417" s="836"/>
      <c r="W417" s="1053" t="str">
        <f>IFERROR(VLOOKUP($B417,기업명!$H$361:$AE$444,21,0),"")</f>
        <v/>
      </c>
      <c r="X417" s="1054"/>
      <c r="Y417" s="1055"/>
    </row>
    <row r="418" spans="2:25" ht="15.6" customHeight="1">
      <c r="B418" s="51">
        <v>82</v>
      </c>
      <c r="C418" s="834" t="str">
        <f>IFERROR(VLOOKUP($B418,기업명!$H$361:$AE$444,2,0),"")</f>
        <v/>
      </c>
      <c r="D418" s="835"/>
      <c r="E418" s="836"/>
      <c r="F418" s="834" t="str">
        <f>IFERROR(VLOOKUP($B418,기업명!$H$361:$AE$444,4,0),"")</f>
        <v/>
      </c>
      <c r="G418" s="835"/>
      <c r="H418" s="836"/>
      <c r="I418" s="834" t="str">
        <f>IFERROR(VLOOKUP($B418,기업명!$H$361:$AE$444,7,0),"")</f>
        <v/>
      </c>
      <c r="J418" s="835"/>
      <c r="K418" s="835"/>
      <c r="L418" s="835"/>
      <c r="M418" s="836"/>
      <c r="N418" s="834" t="str">
        <f>IFERROR(VLOOKUP($B418,기업명!$H$361:$AE$444,14,0),"")</f>
        <v/>
      </c>
      <c r="O418" s="835"/>
      <c r="P418" s="835"/>
      <c r="Q418" s="835"/>
      <c r="R418" s="835"/>
      <c r="S418" s="835"/>
      <c r="T418" s="835"/>
      <c r="U418" s="835"/>
      <c r="V418" s="836"/>
      <c r="W418" s="1053" t="str">
        <f>IFERROR(VLOOKUP($B418,기업명!$H$361:$AE$444,21,0),"")</f>
        <v/>
      </c>
      <c r="X418" s="1054"/>
      <c r="Y418" s="1055"/>
    </row>
    <row r="419" spans="2:25" ht="15.6" customHeight="1">
      <c r="B419" s="51">
        <v>83</v>
      </c>
      <c r="C419" s="834" t="str">
        <f>IFERROR(VLOOKUP($B419,기업명!$H$361:$AE$444,2,0),"")</f>
        <v/>
      </c>
      <c r="D419" s="835"/>
      <c r="E419" s="836"/>
      <c r="F419" s="834" t="str">
        <f>IFERROR(VLOOKUP($B419,기업명!$H$361:$AE$444,4,0),"")</f>
        <v/>
      </c>
      <c r="G419" s="835"/>
      <c r="H419" s="836"/>
      <c r="I419" s="834" t="str">
        <f>IFERROR(VLOOKUP($B419,기업명!$H$361:$AE$444,7,0),"")</f>
        <v/>
      </c>
      <c r="J419" s="835"/>
      <c r="K419" s="835"/>
      <c r="L419" s="835"/>
      <c r="M419" s="836"/>
      <c r="N419" s="834" t="str">
        <f>IFERROR(VLOOKUP($B419,기업명!$H$361:$AE$444,14,0),"")</f>
        <v/>
      </c>
      <c r="O419" s="835"/>
      <c r="P419" s="835"/>
      <c r="Q419" s="835"/>
      <c r="R419" s="835"/>
      <c r="S419" s="835"/>
      <c r="T419" s="835"/>
      <c r="U419" s="835"/>
      <c r="V419" s="836"/>
      <c r="W419" s="1053" t="str">
        <f>IFERROR(VLOOKUP($B419,기업명!$H$361:$AE$444,21,0),"")</f>
        <v/>
      </c>
      <c r="X419" s="1054"/>
      <c r="Y419" s="1055"/>
    </row>
    <row r="420" spans="2:25" ht="15.6" customHeight="1">
      <c r="B420" s="51">
        <v>84</v>
      </c>
      <c r="C420" s="834" t="str">
        <f>IFERROR(VLOOKUP($B420,기업명!$H$361:$AE$444,2,0),"")</f>
        <v/>
      </c>
      <c r="D420" s="835"/>
      <c r="E420" s="836"/>
      <c r="F420" s="834" t="str">
        <f>IFERROR(VLOOKUP($B420,기업명!$H$361:$AE$444,4,0),"")</f>
        <v/>
      </c>
      <c r="G420" s="835"/>
      <c r="H420" s="836"/>
      <c r="I420" s="834" t="str">
        <f>IFERROR(VLOOKUP($B420,기업명!$H$361:$AE$444,7,0),"")</f>
        <v/>
      </c>
      <c r="J420" s="835"/>
      <c r="K420" s="835"/>
      <c r="L420" s="835"/>
      <c r="M420" s="836"/>
      <c r="N420" s="834" t="str">
        <f>IFERROR(VLOOKUP($B420,기업명!$H$361:$AE$444,14,0),"")</f>
        <v/>
      </c>
      <c r="O420" s="835"/>
      <c r="P420" s="835"/>
      <c r="Q420" s="835"/>
      <c r="R420" s="835"/>
      <c r="S420" s="835"/>
      <c r="T420" s="835"/>
      <c r="U420" s="835"/>
      <c r="V420" s="836"/>
      <c r="W420" s="1053" t="str">
        <f>IFERROR(VLOOKUP($B420,기업명!$H$361:$AE$444,21,0),"")</f>
        <v/>
      </c>
      <c r="X420" s="1054"/>
      <c r="Y420" s="1055"/>
    </row>
    <row r="424" spans="2:25" ht="17.25" thickBot="1"/>
    <row r="425" spans="2:25" ht="24.95" customHeight="1" thickBot="1">
      <c r="B425" s="791" t="s">
        <v>616</v>
      </c>
      <c r="C425" s="792"/>
      <c r="D425" s="793" t="s">
        <v>617</v>
      </c>
      <c r="E425" s="794"/>
      <c r="F425" s="794"/>
      <c r="G425" s="794"/>
      <c r="H425" s="794"/>
      <c r="I425" s="794"/>
      <c r="J425" s="794"/>
      <c r="K425" s="794"/>
    </row>
    <row r="426" spans="2:25" ht="17.25" thickBot="1"/>
    <row r="427" spans="2:25" ht="16.5" customHeight="1">
      <c r="B427" s="798" t="s">
        <v>56</v>
      </c>
      <c r="C427" s="799"/>
      <c r="D427" s="802" t="s">
        <v>618</v>
      </c>
      <c r="E427" s="804" t="s">
        <v>621</v>
      </c>
      <c r="F427" s="805"/>
      <c r="G427" s="805"/>
      <c r="H427" s="805"/>
      <c r="I427" s="805"/>
      <c r="J427" s="805"/>
      <c r="K427" s="805"/>
      <c r="L427" s="805"/>
      <c r="M427" s="805"/>
      <c r="N427" s="805"/>
      <c r="O427" s="799"/>
      <c r="P427" s="802" t="s">
        <v>622</v>
      </c>
      <c r="Q427" s="808" t="s">
        <v>654</v>
      </c>
      <c r="R427" s="809"/>
      <c r="S427" s="809"/>
      <c r="T427" s="810"/>
      <c r="U427" s="804" t="s">
        <v>625</v>
      </c>
      <c r="V427" s="805"/>
      <c r="W427" s="805"/>
      <c r="X427" s="813"/>
    </row>
    <row r="428" spans="2:25" ht="17.25" thickBot="1">
      <c r="B428" s="800"/>
      <c r="C428" s="801"/>
      <c r="D428" s="803"/>
      <c r="E428" s="806"/>
      <c r="F428" s="807"/>
      <c r="G428" s="807"/>
      <c r="H428" s="807"/>
      <c r="I428" s="807"/>
      <c r="J428" s="807"/>
      <c r="K428" s="807"/>
      <c r="L428" s="807"/>
      <c r="M428" s="807"/>
      <c r="N428" s="807"/>
      <c r="O428" s="801"/>
      <c r="P428" s="803"/>
      <c r="Q428" s="811" t="s">
        <v>623</v>
      </c>
      <c r="R428" s="812"/>
      <c r="S428" s="811" t="s">
        <v>624</v>
      </c>
      <c r="T428" s="812"/>
      <c r="U428" s="806"/>
      <c r="V428" s="807"/>
      <c r="W428" s="807"/>
      <c r="X428" s="814"/>
    </row>
    <row r="429" spans="2:25" ht="17.25" thickTop="1">
      <c r="B429" s="776" t="s">
        <v>635</v>
      </c>
      <c r="C429" s="777"/>
      <c r="D429" s="131">
        <v>1</v>
      </c>
      <c r="E429" s="788" t="s">
        <v>619</v>
      </c>
      <c r="F429" s="788"/>
      <c r="G429" s="788" t="s">
        <v>620</v>
      </c>
      <c r="H429" s="788"/>
      <c r="I429" s="788"/>
      <c r="J429" s="788"/>
      <c r="K429" s="788"/>
      <c r="L429" s="788"/>
      <c r="M429" s="788"/>
      <c r="N429" s="788"/>
      <c r="O429" s="788"/>
      <c r="P429" s="131">
        <v>1</v>
      </c>
      <c r="Q429" s="788" t="str">
        <f>IF(기업명!X449="","",기업명!X449)</f>
        <v>√</v>
      </c>
      <c r="R429" s="788"/>
      <c r="S429" s="788" t="str">
        <f>IF(기업명!Z449="","",기업명!Z449)</f>
        <v/>
      </c>
      <c r="T429" s="788"/>
      <c r="U429" s="789"/>
      <c r="V429" s="789"/>
      <c r="W429" s="789"/>
      <c r="X429" s="790"/>
    </row>
    <row r="430" spans="2:25">
      <c r="B430" s="778"/>
      <c r="C430" s="779"/>
      <c r="D430" s="130">
        <v>2</v>
      </c>
      <c r="E430" s="773" t="s">
        <v>619</v>
      </c>
      <c r="F430" s="773"/>
      <c r="G430" s="773" t="s">
        <v>626</v>
      </c>
      <c r="H430" s="773"/>
      <c r="I430" s="773"/>
      <c r="J430" s="773"/>
      <c r="K430" s="773"/>
      <c r="L430" s="773"/>
      <c r="M430" s="773"/>
      <c r="N430" s="773"/>
      <c r="O430" s="773"/>
      <c r="P430" s="130">
        <v>1</v>
      </c>
      <c r="Q430" s="788" t="str">
        <f>IF(기업명!X450="","",기업명!X450)</f>
        <v>√</v>
      </c>
      <c r="R430" s="788"/>
      <c r="S430" s="773" t="str">
        <f>IF(기업명!Z450="","",기업명!Z450)</f>
        <v/>
      </c>
      <c r="T430" s="773"/>
      <c r="U430" s="785"/>
      <c r="V430" s="785"/>
      <c r="W430" s="785"/>
      <c r="X430" s="786"/>
    </row>
    <row r="431" spans="2:25">
      <c r="B431" s="778"/>
      <c r="C431" s="779"/>
      <c r="D431" s="130">
        <v>3</v>
      </c>
      <c r="E431" s="773" t="s">
        <v>619</v>
      </c>
      <c r="F431" s="773"/>
      <c r="G431" s="773" t="s">
        <v>627</v>
      </c>
      <c r="H431" s="773"/>
      <c r="I431" s="773"/>
      <c r="J431" s="773"/>
      <c r="K431" s="773"/>
      <c r="L431" s="773"/>
      <c r="M431" s="773"/>
      <c r="N431" s="773" t="s">
        <v>628</v>
      </c>
      <c r="O431" s="773"/>
      <c r="P431" s="130">
        <v>1</v>
      </c>
      <c r="Q431" s="788" t="str">
        <f>IF(기업명!X451="","",기업명!X451)</f>
        <v>√</v>
      </c>
      <c r="R431" s="788"/>
      <c r="S431" s="773" t="str">
        <f>IF(기업명!Z451="","",기업명!Z451)</f>
        <v/>
      </c>
      <c r="T431" s="773"/>
      <c r="U431" s="785"/>
      <c r="V431" s="785"/>
      <c r="W431" s="785"/>
      <c r="X431" s="786"/>
    </row>
    <row r="432" spans="2:25">
      <c r="B432" s="778"/>
      <c r="C432" s="779"/>
      <c r="D432" s="130">
        <v>4</v>
      </c>
      <c r="E432" s="773" t="s">
        <v>619</v>
      </c>
      <c r="F432" s="773"/>
      <c r="G432" s="773" t="s">
        <v>629</v>
      </c>
      <c r="H432" s="773"/>
      <c r="I432" s="773"/>
      <c r="J432" s="773"/>
      <c r="K432" s="773"/>
      <c r="L432" s="773"/>
      <c r="M432" s="773"/>
      <c r="N432" s="773" t="s">
        <v>628</v>
      </c>
      <c r="O432" s="773"/>
      <c r="P432" s="130">
        <v>1</v>
      </c>
      <c r="Q432" s="788" t="str">
        <f>IF(기업명!X452="","",기업명!X452)</f>
        <v>√</v>
      </c>
      <c r="R432" s="788"/>
      <c r="S432" s="773" t="str">
        <f>IF(기업명!Z452="","",기업명!Z452)</f>
        <v/>
      </c>
      <c r="T432" s="773"/>
      <c r="U432" s="785"/>
      <c r="V432" s="785"/>
      <c r="W432" s="785"/>
      <c r="X432" s="786"/>
    </row>
    <row r="433" spans="2:24">
      <c r="B433" s="778"/>
      <c r="C433" s="779"/>
      <c r="D433" s="130">
        <v>5</v>
      </c>
      <c r="E433" s="773" t="s">
        <v>619</v>
      </c>
      <c r="F433" s="773"/>
      <c r="G433" s="773" t="s">
        <v>630</v>
      </c>
      <c r="H433" s="773"/>
      <c r="I433" s="773"/>
      <c r="J433" s="773"/>
      <c r="K433" s="773"/>
      <c r="L433" s="773"/>
      <c r="M433" s="773"/>
      <c r="N433" s="773" t="s">
        <v>628</v>
      </c>
      <c r="O433" s="773"/>
      <c r="P433" s="130">
        <v>1</v>
      </c>
      <c r="Q433" s="788" t="str">
        <f>IF(기업명!X453="","",기업명!X453)</f>
        <v>√</v>
      </c>
      <c r="R433" s="788"/>
      <c r="S433" s="773" t="str">
        <f>IF(기업명!Z453="","",기업명!Z453)</f>
        <v/>
      </c>
      <c r="T433" s="773"/>
      <c r="U433" s="785"/>
      <c r="V433" s="785"/>
      <c r="W433" s="785"/>
      <c r="X433" s="786"/>
    </row>
    <row r="434" spans="2:24" ht="16.5" customHeight="1">
      <c r="B434" s="778"/>
      <c r="C434" s="779"/>
      <c r="D434" s="773">
        <v>6</v>
      </c>
      <c r="E434" s="773" t="s">
        <v>619</v>
      </c>
      <c r="F434" s="773"/>
      <c r="G434" s="774" t="s">
        <v>631</v>
      </c>
      <c r="H434" s="774"/>
      <c r="I434" s="774"/>
      <c r="J434" s="774"/>
      <c r="K434" s="774"/>
      <c r="L434" s="774"/>
      <c r="M434" s="774"/>
      <c r="N434" s="773" t="s">
        <v>628</v>
      </c>
      <c r="O434" s="773"/>
      <c r="P434" s="773">
        <v>1</v>
      </c>
      <c r="Q434" s="773" t="str">
        <f>IF(기업명!X454="","",기업명!X454)</f>
        <v>√</v>
      </c>
      <c r="R434" s="773"/>
      <c r="S434" s="773" t="str">
        <f>IF(기업명!Z454="","",기업명!Z454)</f>
        <v/>
      </c>
      <c r="T434" s="773"/>
      <c r="U434" s="769" t="s">
        <v>632</v>
      </c>
      <c r="V434" s="769"/>
      <c r="W434" s="769"/>
      <c r="X434" s="770"/>
    </row>
    <row r="435" spans="2:24">
      <c r="B435" s="778"/>
      <c r="C435" s="779"/>
      <c r="D435" s="773"/>
      <c r="E435" s="773"/>
      <c r="F435" s="773"/>
      <c r="G435" s="774"/>
      <c r="H435" s="774"/>
      <c r="I435" s="774"/>
      <c r="J435" s="774"/>
      <c r="K435" s="774"/>
      <c r="L435" s="774"/>
      <c r="M435" s="774"/>
      <c r="N435" s="773"/>
      <c r="O435" s="773"/>
      <c r="P435" s="773"/>
      <c r="Q435" s="773" t="str">
        <f>IF(기업명!X455="","",기업명!X455)</f>
        <v/>
      </c>
      <c r="R435" s="773"/>
      <c r="S435" s="773" t="str">
        <f>IF(기업명!Z455="","",기업명!Z455)</f>
        <v/>
      </c>
      <c r="T435" s="773"/>
      <c r="U435" s="769"/>
      <c r="V435" s="769"/>
      <c r="W435" s="769"/>
      <c r="X435" s="770"/>
    </row>
    <row r="436" spans="2:24" ht="17.25" thickBot="1">
      <c r="B436" s="780"/>
      <c r="C436" s="781"/>
      <c r="D436" s="775"/>
      <c r="E436" s="775"/>
      <c r="F436" s="775"/>
      <c r="G436" s="787"/>
      <c r="H436" s="787"/>
      <c r="I436" s="787"/>
      <c r="J436" s="787"/>
      <c r="K436" s="787"/>
      <c r="L436" s="787"/>
      <c r="M436" s="787"/>
      <c r="N436" s="775"/>
      <c r="O436" s="775"/>
      <c r="P436" s="775"/>
      <c r="Q436" s="775" t="str">
        <f>IF(기업명!X456="","",기업명!X456)</f>
        <v/>
      </c>
      <c r="R436" s="775"/>
      <c r="S436" s="775" t="str">
        <f>IF(기업명!Z456="","",기업명!Z456)</f>
        <v/>
      </c>
      <c r="T436" s="775"/>
      <c r="U436" s="771"/>
      <c r="V436" s="771"/>
      <c r="W436" s="771"/>
      <c r="X436" s="772"/>
    </row>
    <row r="437" spans="2:24">
      <c r="B437" s="776" t="s">
        <v>653</v>
      </c>
      <c r="C437" s="777"/>
      <c r="D437" s="131">
        <v>7</v>
      </c>
      <c r="E437" s="788" t="s">
        <v>619</v>
      </c>
      <c r="F437" s="788"/>
      <c r="G437" s="788" t="s">
        <v>633</v>
      </c>
      <c r="H437" s="788"/>
      <c r="I437" s="788"/>
      <c r="J437" s="788"/>
      <c r="K437" s="788"/>
      <c r="L437" s="788"/>
      <c r="M437" s="788"/>
      <c r="N437" s="788" t="s">
        <v>634</v>
      </c>
      <c r="O437" s="788"/>
      <c r="P437" s="131">
        <v>1</v>
      </c>
      <c r="Q437" s="788" t="str">
        <f>IF(기업명!X457="","",기업명!X457)</f>
        <v>√</v>
      </c>
      <c r="R437" s="788"/>
      <c r="S437" s="788" t="str">
        <f>IF(기업명!Z457="","",기업명!Z457)</f>
        <v/>
      </c>
      <c r="T437" s="788"/>
      <c r="U437" s="789"/>
      <c r="V437" s="789"/>
      <c r="W437" s="789"/>
      <c r="X437" s="790"/>
    </row>
    <row r="438" spans="2:24">
      <c r="B438" s="778"/>
      <c r="C438" s="779"/>
      <c r="D438" s="130">
        <v>8</v>
      </c>
      <c r="E438" s="773" t="s">
        <v>619</v>
      </c>
      <c r="F438" s="773"/>
      <c r="G438" s="773" t="s">
        <v>659</v>
      </c>
      <c r="H438" s="773"/>
      <c r="I438" s="773"/>
      <c r="J438" s="773"/>
      <c r="K438" s="773"/>
      <c r="L438" s="773"/>
      <c r="M438" s="773"/>
      <c r="N438" s="773" t="s">
        <v>628</v>
      </c>
      <c r="O438" s="773"/>
      <c r="P438" s="130">
        <v>1</v>
      </c>
      <c r="Q438" s="773" t="str">
        <f>IF(기업명!X458="","",기업명!X458)</f>
        <v>√</v>
      </c>
      <c r="R438" s="773"/>
      <c r="S438" s="773" t="str">
        <f>IF(기업명!Z458="","",기업명!Z458)</f>
        <v/>
      </c>
      <c r="T438" s="773"/>
      <c r="U438" s="785"/>
      <c r="V438" s="785"/>
      <c r="W438" s="785"/>
      <c r="X438" s="786"/>
    </row>
    <row r="439" spans="2:24">
      <c r="B439" s="778"/>
      <c r="C439" s="779"/>
      <c r="D439" s="773">
        <v>9</v>
      </c>
      <c r="E439" s="773" t="s">
        <v>619</v>
      </c>
      <c r="F439" s="773"/>
      <c r="G439" s="773" t="s">
        <v>636</v>
      </c>
      <c r="H439" s="773"/>
      <c r="I439" s="773"/>
      <c r="J439" s="773"/>
      <c r="K439" s="773"/>
      <c r="L439" s="773"/>
      <c r="M439" s="773"/>
      <c r="N439" s="773" t="s">
        <v>628</v>
      </c>
      <c r="O439" s="773"/>
      <c r="P439" s="773">
        <v>1</v>
      </c>
      <c r="Q439" s="773" t="str">
        <f>IF(기업명!X459="","",기업명!X459)</f>
        <v>√</v>
      </c>
      <c r="R439" s="773"/>
      <c r="S439" s="773" t="str">
        <f>IF(기업명!Z459="","",기업명!Z459)</f>
        <v/>
      </c>
      <c r="T439" s="773"/>
      <c r="U439" s="769" t="s">
        <v>637</v>
      </c>
      <c r="V439" s="769"/>
      <c r="W439" s="769"/>
      <c r="X439" s="770"/>
    </row>
    <row r="440" spans="2:24">
      <c r="B440" s="778"/>
      <c r="C440" s="779"/>
      <c r="D440" s="773"/>
      <c r="E440" s="773"/>
      <c r="F440" s="773"/>
      <c r="G440" s="773"/>
      <c r="H440" s="773"/>
      <c r="I440" s="773"/>
      <c r="J440" s="773"/>
      <c r="K440" s="773"/>
      <c r="L440" s="773"/>
      <c r="M440" s="773"/>
      <c r="N440" s="773"/>
      <c r="O440" s="773"/>
      <c r="P440" s="773"/>
      <c r="Q440" s="773" t="str">
        <f>IF(기업명!X460="","",기업명!X460)</f>
        <v/>
      </c>
      <c r="R440" s="773"/>
      <c r="S440" s="773" t="str">
        <f>IF(기업명!Z460="","",기업명!Z460)</f>
        <v/>
      </c>
      <c r="T440" s="773"/>
      <c r="U440" s="769"/>
      <c r="V440" s="769"/>
      <c r="W440" s="769"/>
      <c r="X440" s="770"/>
    </row>
    <row r="441" spans="2:24">
      <c r="B441" s="778"/>
      <c r="C441" s="779"/>
      <c r="D441" s="130">
        <v>10</v>
      </c>
      <c r="E441" s="773" t="s">
        <v>619</v>
      </c>
      <c r="F441" s="773"/>
      <c r="G441" s="773" t="s">
        <v>638</v>
      </c>
      <c r="H441" s="773"/>
      <c r="I441" s="773"/>
      <c r="J441" s="773"/>
      <c r="K441" s="773"/>
      <c r="L441" s="773"/>
      <c r="M441" s="773"/>
      <c r="N441" s="773" t="s">
        <v>628</v>
      </c>
      <c r="O441" s="773"/>
      <c r="P441" s="130">
        <v>1</v>
      </c>
      <c r="Q441" s="773" t="str">
        <f>IF(기업명!X461="","",기업명!X461)</f>
        <v>√</v>
      </c>
      <c r="R441" s="773"/>
      <c r="S441" s="773" t="str">
        <f>IF(기업명!Z461="","",기업명!Z461)</f>
        <v/>
      </c>
      <c r="T441" s="773"/>
      <c r="U441" s="785"/>
      <c r="V441" s="785"/>
      <c r="W441" s="785"/>
      <c r="X441" s="786"/>
    </row>
    <row r="442" spans="2:24">
      <c r="B442" s="778"/>
      <c r="C442" s="779"/>
      <c r="D442" s="773">
        <v>11</v>
      </c>
      <c r="E442" s="773" t="s">
        <v>619</v>
      </c>
      <c r="F442" s="773"/>
      <c r="G442" s="774" t="s">
        <v>639</v>
      </c>
      <c r="H442" s="773"/>
      <c r="I442" s="773"/>
      <c r="J442" s="773"/>
      <c r="K442" s="773"/>
      <c r="L442" s="773"/>
      <c r="M442" s="773"/>
      <c r="N442" s="773" t="s">
        <v>634</v>
      </c>
      <c r="O442" s="773"/>
      <c r="P442" s="773">
        <v>1</v>
      </c>
      <c r="Q442" s="773" t="str">
        <f>IF(기업명!X462="","",기업명!X462)</f>
        <v>√</v>
      </c>
      <c r="R442" s="773"/>
      <c r="S442" s="773" t="str">
        <f>IF(기업명!Z462="","",기업명!Z462)</f>
        <v/>
      </c>
      <c r="T442" s="773"/>
      <c r="U442" s="769"/>
      <c r="V442" s="769"/>
      <c r="W442" s="769"/>
      <c r="X442" s="770"/>
    </row>
    <row r="443" spans="2:24">
      <c r="B443" s="778"/>
      <c r="C443" s="779"/>
      <c r="D443" s="773"/>
      <c r="E443" s="773"/>
      <c r="F443" s="773"/>
      <c r="G443" s="773"/>
      <c r="H443" s="773"/>
      <c r="I443" s="773"/>
      <c r="J443" s="773"/>
      <c r="K443" s="773"/>
      <c r="L443" s="773"/>
      <c r="M443" s="773"/>
      <c r="N443" s="773"/>
      <c r="O443" s="773"/>
      <c r="P443" s="773"/>
      <c r="Q443" s="773" t="str">
        <f>IF(기업명!X463="","",기업명!X463)</f>
        <v/>
      </c>
      <c r="R443" s="773"/>
      <c r="S443" s="773" t="str">
        <f>IF(기업명!Z463="","",기업명!Z463)</f>
        <v/>
      </c>
      <c r="T443" s="773"/>
      <c r="U443" s="769"/>
      <c r="V443" s="769"/>
      <c r="W443" s="769"/>
      <c r="X443" s="770"/>
    </row>
    <row r="444" spans="2:24">
      <c r="B444" s="778"/>
      <c r="C444" s="779"/>
      <c r="D444" s="773">
        <v>12</v>
      </c>
      <c r="E444" s="773" t="s">
        <v>619</v>
      </c>
      <c r="F444" s="773"/>
      <c r="G444" s="774" t="s">
        <v>640</v>
      </c>
      <c r="H444" s="773"/>
      <c r="I444" s="773"/>
      <c r="J444" s="773"/>
      <c r="K444" s="773"/>
      <c r="L444" s="773"/>
      <c r="M444" s="773"/>
      <c r="N444" s="773" t="s">
        <v>634</v>
      </c>
      <c r="O444" s="773"/>
      <c r="P444" s="773">
        <v>1</v>
      </c>
      <c r="Q444" s="773" t="str">
        <f>IF(기업명!X464="","",기업명!X464)</f>
        <v>√</v>
      </c>
      <c r="R444" s="773"/>
      <c r="S444" s="773" t="str">
        <f>IF(기업명!Z464="","",기업명!Z464)</f>
        <v/>
      </c>
      <c r="T444" s="773"/>
      <c r="U444" s="769"/>
      <c r="V444" s="769"/>
      <c r="W444" s="769"/>
      <c r="X444" s="770"/>
    </row>
    <row r="445" spans="2:24">
      <c r="B445" s="778"/>
      <c r="C445" s="779"/>
      <c r="D445" s="773"/>
      <c r="E445" s="773"/>
      <c r="F445" s="773"/>
      <c r="G445" s="773"/>
      <c r="H445" s="773"/>
      <c r="I445" s="773"/>
      <c r="J445" s="773"/>
      <c r="K445" s="773"/>
      <c r="L445" s="773"/>
      <c r="M445" s="773"/>
      <c r="N445" s="773"/>
      <c r="O445" s="773"/>
      <c r="P445" s="773"/>
      <c r="Q445" s="773" t="str">
        <f>IF(기업명!X465="","",기업명!X465)</f>
        <v/>
      </c>
      <c r="R445" s="773"/>
      <c r="S445" s="773" t="str">
        <f>IF(기업명!Z465="","",기업명!Z465)</f>
        <v/>
      </c>
      <c r="T445" s="773"/>
      <c r="U445" s="769"/>
      <c r="V445" s="769"/>
      <c r="W445" s="769"/>
      <c r="X445" s="770"/>
    </row>
    <row r="446" spans="2:24">
      <c r="B446" s="778"/>
      <c r="C446" s="779"/>
      <c r="D446" s="773">
        <v>13</v>
      </c>
      <c r="E446" s="773" t="s">
        <v>619</v>
      </c>
      <c r="F446" s="773"/>
      <c r="G446" s="774" t="s">
        <v>641</v>
      </c>
      <c r="H446" s="773"/>
      <c r="I446" s="773"/>
      <c r="J446" s="773"/>
      <c r="K446" s="773"/>
      <c r="L446" s="773"/>
      <c r="M446" s="773"/>
      <c r="N446" s="773"/>
      <c r="O446" s="773"/>
      <c r="P446" s="773">
        <v>1</v>
      </c>
      <c r="Q446" s="773" t="str">
        <f>IF(기업명!X466="","",기업명!X466)</f>
        <v>√</v>
      </c>
      <c r="R446" s="773"/>
      <c r="S446" s="773" t="str">
        <f>IF(기업명!Z466="","",기업명!Z466)</f>
        <v/>
      </c>
      <c r="T446" s="773"/>
      <c r="U446" s="769"/>
      <c r="V446" s="769"/>
      <c r="W446" s="769"/>
      <c r="X446" s="770"/>
    </row>
    <row r="447" spans="2:24">
      <c r="B447" s="778"/>
      <c r="C447" s="779"/>
      <c r="D447" s="773"/>
      <c r="E447" s="773"/>
      <c r="F447" s="773"/>
      <c r="G447" s="773"/>
      <c r="H447" s="773"/>
      <c r="I447" s="773"/>
      <c r="J447" s="773"/>
      <c r="K447" s="773"/>
      <c r="L447" s="773"/>
      <c r="M447" s="773"/>
      <c r="N447" s="773"/>
      <c r="O447" s="773"/>
      <c r="P447" s="773"/>
      <c r="Q447" s="773" t="str">
        <f>IF(기업명!X467="","",기업명!X467)</f>
        <v/>
      </c>
      <c r="R447" s="773"/>
      <c r="S447" s="773" t="str">
        <f>IF(기업명!Z467="","",기업명!Z467)</f>
        <v/>
      </c>
      <c r="T447" s="773"/>
      <c r="U447" s="769"/>
      <c r="V447" s="769"/>
      <c r="W447" s="769"/>
      <c r="X447" s="770"/>
    </row>
    <row r="448" spans="2:24">
      <c r="B448" s="778"/>
      <c r="C448" s="779"/>
      <c r="D448" s="773">
        <v>14</v>
      </c>
      <c r="E448" s="773" t="s">
        <v>642</v>
      </c>
      <c r="F448" s="773"/>
      <c r="G448" s="774" t="s">
        <v>643</v>
      </c>
      <c r="H448" s="773"/>
      <c r="I448" s="773"/>
      <c r="J448" s="773"/>
      <c r="K448" s="773"/>
      <c r="L448" s="773"/>
      <c r="M448" s="773"/>
      <c r="N448" s="773" t="s">
        <v>655</v>
      </c>
      <c r="O448" s="773"/>
      <c r="P448" s="773">
        <v>1</v>
      </c>
      <c r="Q448" s="773" t="str">
        <f>IF(기업명!X468="","",기업명!X468)</f>
        <v/>
      </c>
      <c r="R448" s="773"/>
      <c r="S448" s="773" t="str">
        <f>IF(기업명!Z468="","",기업명!Z468)</f>
        <v>√</v>
      </c>
      <c r="T448" s="773"/>
      <c r="U448" s="769"/>
      <c r="V448" s="769"/>
      <c r="W448" s="769"/>
      <c r="X448" s="770"/>
    </row>
    <row r="449" spans="2:24">
      <c r="B449" s="778"/>
      <c r="C449" s="779"/>
      <c r="D449" s="773"/>
      <c r="E449" s="773"/>
      <c r="F449" s="773"/>
      <c r="G449" s="773"/>
      <c r="H449" s="773"/>
      <c r="I449" s="773"/>
      <c r="J449" s="773"/>
      <c r="K449" s="773"/>
      <c r="L449" s="773"/>
      <c r="M449" s="773"/>
      <c r="N449" s="773"/>
      <c r="O449" s="773"/>
      <c r="P449" s="773"/>
      <c r="Q449" s="773" t="str">
        <f>IF(기업명!X469="","",기업명!X469)</f>
        <v/>
      </c>
      <c r="R449" s="773"/>
      <c r="S449" s="773" t="str">
        <f>IF(기업명!Z469="","",기업명!Z469)</f>
        <v/>
      </c>
      <c r="T449" s="773"/>
      <c r="U449" s="769"/>
      <c r="V449" s="769"/>
      <c r="W449" s="769"/>
      <c r="X449" s="770"/>
    </row>
    <row r="450" spans="2:24">
      <c r="B450" s="778"/>
      <c r="C450" s="779"/>
      <c r="D450" s="773">
        <v>15</v>
      </c>
      <c r="E450" s="773" t="s">
        <v>619</v>
      </c>
      <c r="F450" s="773"/>
      <c r="G450" s="774" t="s">
        <v>644</v>
      </c>
      <c r="H450" s="773"/>
      <c r="I450" s="773"/>
      <c r="J450" s="773"/>
      <c r="K450" s="773"/>
      <c r="L450" s="773"/>
      <c r="M450" s="773"/>
      <c r="N450" s="773"/>
      <c r="O450" s="773"/>
      <c r="P450" s="773">
        <v>1</v>
      </c>
      <c r="Q450" s="773" t="str">
        <f>IF(기업명!X470="","",기업명!X470)</f>
        <v>√</v>
      </c>
      <c r="R450" s="773"/>
      <c r="S450" s="773" t="str">
        <f>IF(기업명!Z470="","",기업명!Z470)</f>
        <v/>
      </c>
      <c r="T450" s="773"/>
      <c r="U450" s="769" t="s">
        <v>645</v>
      </c>
      <c r="V450" s="769"/>
      <c r="W450" s="769"/>
      <c r="X450" s="770"/>
    </row>
    <row r="451" spans="2:24">
      <c r="B451" s="778"/>
      <c r="C451" s="779"/>
      <c r="D451" s="773"/>
      <c r="E451" s="773"/>
      <c r="F451" s="773"/>
      <c r="G451" s="773"/>
      <c r="H451" s="773"/>
      <c r="I451" s="773"/>
      <c r="J451" s="773"/>
      <c r="K451" s="773"/>
      <c r="L451" s="773"/>
      <c r="M451" s="773"/>
      <c r="N451" s="773"/>
      <c r="O451" s="773"/>
      <c r="P451" s="773"/>
      <c r="Q451" s="773" t="str">
        <f>IF(기업명!X471="","",기업명!X471)</f>
        <v/>
      </c>
      <c r="R451" s="773"/>
      <c r="S451" s="773" t="str">
        <f>IF(기업명!Z471="","",기업명!Z471)</f>
        <v/>
      </c>
      <c r="T451" s="773"/>
      <c r="U451" s="769"/>
      <c r="V451" s="769"/>
      <c r="W451" s="769"/>
      <c r="X451" s="770"/>
    </row>
    <row r="452" spans="2:24">
      <c r="B452" s="778"/>
      <c r="C452" s="779"/>
      <c r="D452" s="130">
        <v>16</v>
      </c>
      <c r="E452" s="773" t="s">
        <v>619</v>
      </c>
      <c r="F452" s="773"/>
      <c r="G452" s="773" t="s">
        <v>646</v>
      </c>
      <c r="H452" s="773"/>
      <c r="I452" s="773"/>
      <c r="J452" s="773"/>
      <c r="K452" s="773"/>
      <c r="L452" s="773"/>
      <c r="M452" s="773"/>
      <c r="N452" s="773"/>
      <c r="O452" s="773"/>
      <c r="P452" s="130">
        <v>1</v>
      </c>
      <c r="Q452" s="773" t="str">
        <f>IF(기업명!X472="","",기업명!X472)</f>
        <v>√</v>
      </c>
      <c r="R452" s="773"/>
      <c r="S452" s="773" t="str">
        <f>IF(기업명!Z472="","",기업명!Z472)</f>
        <v/>
      </c>
      <c r="T452" s="773"/>
      <c r="U452" s="773"/>
      <c r="V452" s="773"/>
      <c r="W452" s="773"/>
      <c r="X452" s="782"/>
    </row>
    <row r="453" spans="2:24" ht="16.5" customHeight="1">
      <c r="B453" s="778"/>
      <c r="C453" s="779"/>
      <c r="D453" s="773">
        <v>17</v>
      </c>
      <c r="E453" s="773" t="s">
        <v>619</v>
      </c>
      <c r="F453" s="773"/>
      <c r="G453" s="774" t="s">
        <v>648</v>
      </c>
      <c r="H453" s="774"/>
      <c r="I453" s="774"/>
      <c r="J453" s="774"/>
      <c r="K453" s="774"/>
      <c r="L453" s="774"/>
      <c r="M453" s="774"/>
      <c r="N453" s="773"/>
      <c r="O453" s="773"/>
      <c r="P453" s="773">
        <v>1</v>
      </c>
      <c r="Q453" s="773" t="str">
        <f>IF(기업명!X473="","",기업명!X473)</f>
        <v>√</v>
      </c>
      <c r="R453" s="773"/>
      <c r="S453" s="773" t="str">
        <f>IF(기업명!Z473="","",기업명!Z473)</f>
        <v/>
      </c>
      <c r="T453" s="773"/>
      <c r="U453" s="783" t="s">
        <v>647</v>
      </c>
      <c r="V453" s="783"/>
      <c r="W453" s="783"/>
      <c r="X453" s="784"/>
    </row>
    <row r="454" spans="2:24">
      <c r="B454" s="778"/>
      <c r="C454" s="779"/>
      <c r="D454" s="773"/>
      <c r="E454" s="773"/>
      <c r="F454" s="773"/>
      <c r="G454" s="774"/>
      <c r="H454" s="774"/>
      <c r="I454" s="774"/>
      <c r="J454" s="774"/>
      <c r="K454" s="774"/>
      <c r="L454" s="774"/>
      <c r="M454" s="774"/>
      <c r="N454" s="773"/>
      <c r="O454" s="773"/>
      <c r="P454" s="773"/>
      <c r="Q454" s="773" t="str">
        <f>IF(기업명!X474="","",기업명!X474)</f>
        <v/>
      </c>
      <c r="R454" s="773"/>
      <c r="S454" s="773" t="str">
        <f>IF(기업명!Z474="","",기업명!Z474)</f>
        <v/>
      </c>
      <c r="T454" s="773"/>
      <c r="U454" s="783"/>
      <c r="V454" s="783"/>
      <c r="W454" s="783"/>
      <c r="X454" s="784"/>
    </row>
    <row r="455" spans="2:24">
      <c r="B455" s="778"/>
      <c r="C455" s="779"/>
      <c r="D455" s="773"/>
      <c r="E455" s="773"/>
      <c r="F455" s="773"/>
      <c r="G455" s="774"/>
      <c r="H455" s="774"/>
      <c r="I455" s="774"/>
      <c r="J455" s="774"/>
      <c r="K455" s="774"/>
      <c r="L455" s="774"/>
      <c r="M455" s="774"/>
      <c r="N455" s="773"/>
      <c r="O455" s="773"/>
      <c r="P455" s="773"/>
      <c r="Q455" s="773" t="str">
        <f>IF(기업명!X475="","",기업명!X475)</f>
        <v/>
      </c>
      <c r="R455" s="773"/>
      <c r="S455" s="773" t="str">
        <f>IF(기업명!Z475="","",기업명!Z475)</f>
        <v/>
      </c>
      <c r="T455" s="773"/>
      <c r="U455" s="783"/>
      <c r="V455" s="783"/>
      <c r="W455" s="783"/>
      <c r="X455" s="784"/>
    </row>
    <row r="456" spans="2:24">
      <c r="B456" s="778"/>
      <c r="C456" s="779"/>
      <c r="D456" s="773"/>
      <c r="E456" s="773"/>
      <c r="F456" s="773"/>
      <c r="G456" s="774"/>
      <c r="H456" s="774"/>
      <c r="I456" s="774"/>
      <c r="J456" s="774"/>
      <c r="K456" s="774"/>
      <c r="L456" s="774"/>
      <c r="M456" s="774"/>
      <c r="N456" s="773"/>
      <c r="O456" s="773"/>
      <c r="P456" s="773"/>
      <c r="Q456" s="773" t="str">
        <f>IF(기업명!X476="","",기업명!X476)</f>
        <v/>
      </c>
      <c r="R456" s="773"/>
      <c r="S456" s="773" t="str">
        <f>IF(기업명!Z476="","",기업명!Z476)</f>
        <v/>
      </c>
      <c r="T456" s="773"/>
      <c r="U456" s="783"/>
      <c r="V456" s="783"/>
      <c r="W456" s="783"/>
      <c r="X456" s="784"/>
    </row>
    <row r="457" spans="2:24">
      <c r="B457" s="778"/>
      <c r="C457" s="779"/>
      <c r="D457" s="773"/>
      <c r="E457" s="773"/>
      <c r="F457" s="773"/>
      <c r="G457" s="774"/>
      <c r="H457" s="774"/>
      <c r="I457" s="774"/>
      <c r="J457" s="774"/>
      <c r="K457" s="774"/>
      <c r="L457" s="774"/>
      <c r="M457" s="774"/>
      <c r="N457" s="773"/>
      <c r="O457" s="773"/>
      <c r="P457" s="773"/>
      <c r="Q457" s="773" t="str">
        <f>IF(기업명!X477="","",기업명!X477)</f>
        <v/>
      </c>
      <c r="R457" s="773"/>
      <c r="S457" s="773" t="str">
        <f>IF(기업명!Z477="","",기업명!Z477)</f>
        <v/>
      </c>
      <c r="T457" s="773"/>
      <c r="U457" s="783"/>
      <c r="V457" s="783"/>
      <c r="W457" s="783"/>
      <c r="X457" s="784"/>
    </row>
    <row r="458" spans="2:24">
      <c r="B458" s="778"/>
      <c r="C458" s="779"/>
      <c r="D458" s="773"/>
      <c r="E458" s="773"/>
      <c r="F458" s="773"/>
      <c r="G458" s="774"/>
      <c r="H458" s="774"/>
      <c r="I458" s="774"/>
      <c r="J458" s="774"/>
      <c r="K458" s="774"/>
      <c r="L458" s="774"/>
      <c r="M458" s="774"/>
      <c r="N458" s="773"/>
      <c r="O458" s="773"/>
      <c r="P458" s="773"/>
      <c r="Q458" s="773" t="str">
        <f>IF(기업명!X478="","",기업명!X478)</f>
        <v/>
      </c>
      <c r="R458" s="773"/>
      <c r="S458" s="773" t="str">
        <f>IF(기업명!Z478="","",기업명!Z478)</f>
        <v/>
      </c>
      <c r="T458" s="773"/>
      <c r="U458" s="783"/>
      <c r="V458" s="783"/>
      <c r="W458" s="783"/>
      <c r="X458" s="784"/>
    </row>
    <row r="459" spans="2:24">
      <c r="B459" s="778"/>
      <c r="C459" s="779"/>
      <c r="D459" s="773"/>
      <c r="E459" s="773"/>
      <c r="F459" s="773"/>
      <c r="G459" s="774"/>
      <c r="H459" s="774"/>
      <c r="I459" s="774"/>
      <c r="J459" s="774"/>
      <c r="K459" s="774"/>
      <c r="L459" s="774"/>
      <c r="M459" s="774"/>
      <c r="N459" s="773"/>
      <c r="O459" s="773"/>
      <c r="P459" s="773"/>
      <c r="Q459" s="773" t="str">
        <f>IF(기업명!X479="","",기업명!X479)</f>
        <v/>
      </c>
      <c r="R459" s="773"/>
      <c r="S459" s="773" t="str">
        <f>IF(기업명!Z479="","",기업명!Z479)</f>
        <v/>
      </c>
      <c r="T459" s="773"/>
      <c r="U459" s="783"/>
      <c r="V459" s="783"/>
      <c r="W459" s="783"/>
      <c r="X459" s="784"/>
    </row>
    <row r="460" spans="2:24">
      <c r="B460" s="778"/>
      <c r="C460" s="779"/>
      <c r="D460" s="773"/>
      <c r="E460" s="773"/>
      <c r="F460" s="773"/>
      <c r="G460" s="774"/>
      <c r="H460" s="774"/>
      <c r="I460" s="774"/>
      <c r="J460" s="774"/>
      <c r="K460" s="774"/>
      <c r="L460" s="774"/>
      <c r="M460" s="774"/>
      <c r="N460" s="773"/>
      <c r="O460" s="773"/>
      <c r="P460" s="773"/>
      <c r="Q460" s="773" t="str">
        <f>IF(기업명!X480="","",기업명!X480)</f>
        <v/>
      </c>
      <c r="R460" s="773"/>
      <c r="S460" s="773" t="str">
        <f>IF(기업명!Z480="","",기업명!Z480)</f>
        <v/>
      </c>
      <c r="T460" s="773"/>
      <c r="U460" s="783"/>
      <c r="V460" s="783"/>
      <c r="W460" s="783"/>
      <c r="X460" s="784"/>
    </row>
    <row r="461" spans="2:24">
      <c r="B461" s="778"/>
      <c r="C461" s="779"/>
      <c r="D461" s="773"/>
      <c r="E461" s="773"/>
      <c r="F461" s="773"/>
      <c r="G461" s="774"/>
      <c r="H461" s="774"/>
      <c r="I461" s="774"/>
      <c r="J461" s="774"/>
      <c r="K461" s="774"/>
      <c r="L461" s="774"/>
      <c r="M461" s="774"/>
      <c r="N461" s="773"/>
      <c r="O461" s="773"/>
      <c r="P461" s="773"/>
      <c r="Q461" s="773" t="str">
        <f>IF(기업명!X481="","",기업명!X481)</f>
        <v/>
      </c>
      <c r="R461" s="773"/>
      <c r="S461" s="773" t="str">
        <f>IF(기업명!Z481="","",기업명!Z481)</f>
        <v/>
      </c>
      <c r="T461" s="773"/>
      <c r="U461" s="783"/>
      <c r="V461" s="783"/>
      <c r="W461" s="783"/>
      <c r="X461" s="784"/>
    </row>
    <row r="462" spans="2:24">
      <c r="B462" s="778"/>
      <c r="C462" s="779"/>
      <c r="D462" s="773"/>
      <c r="E462" s="773"/>
      <c r="F462" s="773"/>
      <c r="G462" s="774"/>
      <c r="H462" s="774"/>
      <c r="I462" s="774"/>
      <c r="J462" s="774"/>
      <c r="K462" s="774"/>
      <c r="L462" s="774"/>
      <c r="M462" s="774"/>
      <c r="N462" s="773"/>
      <c r="O462" s="773"/>
      <c r="P462" s="773"/>
      <c r="Q462" s="773" t="str">
        <f>IF(기업명!X482="","",기업명!X482)</f>
        <v/>
      </c>
      <c r="R462" s="773"/>
      <c r="S462" s="773" t="str">
        <f>IF(기업명!Z482="","",기업명!Z482)</f>
        <v/>
      </c>
      <c r="T462" s="773"/>
      <c r="U462" s="783"/>
      <c r="V462" s="783"/>
      <c r="W462" s="783"/>
      <c r="X462" s="784"/>
    </row>
    <row r="463" spans="2:24">
      <c r="B463" s="778"/>
      <c r="C463" s="779"/>
      <c r="D463" s="773"/>
      <c r="E463" s="773"/>
      <c r="F463" s="773"/>
      <c r="G463" s="774"/>
      <c r="H463" s="774"/>
      <c r="I463" s="774"/>
      <c r="J463" s="774"/>
      <c r="K463" s="774"/>
      <c r="L463" s="774"/>
      <c r="M463" s="774"/>
      <c r="N463" s="773"/>
      <c r="O463" s="773"/>
      <c r="P463" s="773"/>
      <c r="Q463" s="773" t="str">
        <f>IF(기업명!X483="","",기업명!X483)</f>
        <v/>
      </c>
      <c r="R463" s="773"/>
      <c r="S463" s="773" t="str">
        <f>IF(기업명!Z483="","",기업명!Z483)</f>
        <v/>
      </c>
      <c r="T463" s="773"/>
      <c r="U463" s="783"/>
      <c r="V463" s="783"/>
      <c r="W463" s="783"/>
      <c r="X463" s="784"/>
    </row>
    <row r="464" spans="2:24">
      <c r="B464" s="778"/>
      <c r="C464" s="779"/>
      <c r="D464" s="773"/>
      <c r="E464" s="773"/>
      <c r="F464" s="773"/>
      <c r="G464" s="774"/>
      <c r="H464" s="774"/>
      <c r="I464" s="774"/>
      <c r="J464" s="774"/>
      <c r="K464" s="774"/>
      <c r="L464" s="774"/>
      <c r="M464" s="774"/>
      <c r="N464" s="773"/>
      <c r="O464" s="773"/>
      <c r="P464" s="773"/>
      <c r="Q464" s="773" t="str">
        <f>IF(기업명!X484="","",기업명!X484)</f>
        <v/>
      </c>
      <c r="R464" s="773"/>
      <c r="S464" s="773" t="str">
        <f>IF(기업명!Z484="","",기업명!Z484)</f>
        <v/>
      </c>
      <c r="T464" s="773"/>
      <c r="U464" s="783"/>
      <c r="V464" s="783"/>
      <c r="W464" s="783"/>
      <c r="X464" s="784"/>
    </row>
    <row r="465" spans="2:25">
      <c r="B465" s="778"/>
      <c r="C465" s="779"/>
      <c r="D465" s="773">
        <v>18</v>
      </c>
      <c r="E465" s="773" t="s">
        <v>642</v>
      </c>
      <c r="F465" s="773"/>
      <c r="G465" s="774" t="s">
        <v>651</v>
      </c>
      <c r="H465" s="774"/>
      <c r="I465" s="774"/>
      <c r="J465" s="774"/>
      <c r="K465" s="774"/>
      <c r="L465" s="774"/>
      <c r="M465" s="774"/>
      <c r="N465" s="773"/>
      <c r="O465" s="773"/>
      <c r="P465" s="773">
        <v>1</v>
      </c>
      <c r="Q465" s="773" t="str">
        <f>IF(기업명!X485="","",기업명!X485)</f>
        <v>√</v>
      </c>
      <c r="R465" s="773"/>
      <c r="S465" s="773" t="str">
        <f>IF(기업명!Z485="","",기업명!Z485)</f>
        <v/>
      </c>
      <c r="T465" s="773"/>
      <c r="U465" s="769" t="s">
        <v>649</v>
      </c>
      <c r="V465" s="769"/>
      <c r="W465" s="769"/>
      <c r="X465" s="770"/>
    </row>
    <row r="466" spans="2:25">
      <c r="B466" s="778"/>
      <c r="C466" s="779"/>
      <c r="D466" s="773"/>
      <c r="E466" s="773"/>
      <c r="F466" s="773"/>
      <c r="G466" s="774"/>
      <c r="H466" s="774"/>
      <c r="I466" s="774"/>
      <c r="J466" s="774"/>
      <c r="K466" s="774"/>
      <c r="L466" s="774"/>
      <c r="M466" s="774"/>
      <c r="N466" s="773"/>
      <c r="O466" s="773"/>
      <c r="P466" s="773"/>
      <c r="Q466" s="773" t="str">
        <f>IF(기업명!X486="","",기업명!X486)</f>
        <v/>
      </c>
      <c r="R466" s="773"/>
      <c r="S466" s="773" t="str">
        <f>IF(기업명!Z486="","",기업명!Z486)</f>
        <v/>
      </c>
      <c r="T466" s="773"/>
      <c r="U466" s="769"/>
      <c r="V466" s="769"/>
      <c r="W466" s="769"/>
      <c r="X466" s="770"/>
    </row>
    <row r="467" spans="2:25">
      <c r="B467" s="778"/>
      <c r="C467" s="779"/>
      <c r="D467" s="773"/>
      <c r="E467" s="773"/>
      <c r="F467" s="773"/>
      <c r="G467" s="774"/>
      <c r="H467" s="774"/>
      <c r="I467" s="774"/>
      <c r="J467" s="774"/>
      <c r="K467" s="774"/>
      <c r="L467" s="774"/>
      <c r="M467" s="774"/>
      <c r="N467" s="773"/>
      <c r="O467" s="773"/>
      <c r="P467" s="773"/>
      <c r="Q467" s="773" t="str">
        <f>IF(기업명!X487="","",기업명!X487)</f>
        <v/>
      </c>
      <c r="R467" s="773"/>
      <c r="S467" s="773" t="str">
        <f>IF(기업명!Z487="","",기업명!Z487)</f>
        <v/>
      </c>
      <c r="T467" s="773"/>
      <c r="U467" s="769"/>
      <c r="V467" s="769"/>
      <c r="W467" s="769"/>
      <c r="X467" s="770"/>
    </row>
    <row r="468" spans="2:25">
      <c r="B468" s="778"/>
      <c r="C468" s="779"/>
      <c r="D468" s="773"/>
      <c r="E468" s="773"/>
      <c r="F468" s="773"/>
      <c r="G468" s="774"/>
      <c r="H468" s="774"/>
      <c r="I468" s="774"/>
      <c r="J468" s="774"/>
      <c r="K468" s="774"/>
      <c r="L468" s="774"/>
      <c r="M468" s="774"/>
      <c r="N468" s="773"/>
      <c r="O468" s="773"/>
      <c r="P468" s="773"/>
      <c r="Q468" s="773" t="str">
        <f>IF(기업명!X488="","",기업명!X488)</f>
        <v/>
      </c>
      <c r="R468" s="773"/>
      <c r="S468" s="773" t="str">
        <f>IF(기업명!Z488="","",기업명!Z488)</f>
        <v/>
      </c>
      <c r="T468" s="773"/>
      <c r="U468" s="769"/>
      <c r="V468" s="769"/>
      <c r="W468" s="769"/>
      <c r="X468" s="770"/>
    </row>
    <row r="469" spans="2:25">
      <c r="B469" s="778"/>
      <c r="C469" s="779"/>
      <c r="D469" s="773">
        <v>19</v>
      </c>
      <c r="E469" s="773" t="s">
        <v>619</v>
      </c>
      <c r="F469" s="773"/>
      <c r="G469" s="774" t="s">
        <v>652</v>
      </c>
      <c r="H469" s="773"/>
      <c r="I469" s="773"/>
      <c r="J469" s="773"/>
      <c r="K469" s="773"/>
      <c r="L469" s="773"/>
      <c r="M469" s="773"/>
      <c r="N469" s="773"/>
      <c r="O469" s="773"/>
      <c r="P469" s="773">
        <v>1</v>
      </c>
      <c r="Q469" s="773" t="str">
        <f>IF(기업명!X489="","",기업명!X489)</f>
        <v>√</v>
      </c>
      <c r="R469" s="773"/>
      <c r="S469" s="773" t="str">
        <f>IF(기업명!Z489="","",기업명!Z489)</f>
        <v/>
      </c>
      <c r="T469" s="773"/>
      <c r="U469" s="769" t="s">
        <v>650</v>
      </c>
      <c r="V469" s="769"/>
      <c r="W469" s="769"/>
      <c r="X469" s="770"/>
    </row>
    <row r="470" spans="2:25">
      <c r="B470" s="778"/>
      <c r="C470" s="779"/>
      <c r="D470" s="773"/>
      <c r="E470" s="773"/>
      <c r="F470" s="773"/>
      <c r="G470" s="773"/>
      <c r="H470" s="773"/>
      <c r="I470" s="773"/>
      <c r="J470" s="773"/>
      <c r="K470" s="773"/>
      <c r="L470" s="773"/>
      <c r="M470" s="773"/>
      <c r="N470" s="773"/>
      <c r="O470" s="773"/>
      <c r="P470" s="773"/>
      <c r="Q470" s="773" t="str">
        <f>IF(기업명!X490="","",기업명!X490)</f>
        <v/>
      </c>
      <c r="R470" s="773"/>
      <c r="S470" s="773" t="str">
        <f>IF(기업명!Z490="","",기업명!Z490)</f>
        <v/>
      </c>
      <c r="T470" s="773"/>
      <c r="U470" s="769"/>
      <c r="V470" s="769"/>
      <c r="W470" s="769"/>
      <c r="X470" s="770"/>
    </row>
    <row r="471" spans="2:25" ht="17.25" thickBot="1">
      <c r="B471" s="780"/>
      <c r="C471" s="781"/>
      <c r="D471" s="775"/>
      <c r="E471" s="775"/>
      <c r="F471" s="775"/>
      <c r="G471" s="775"/>
      <c r="H471" s="775"/>
      <c r="I471" s="775"/>
      <c r="J471" s="775"/>
      <c r="K471" s="775"/>
      <c r="L471" s="775"/>
      <c r="M471" s="775"/>
      <c r="N471" s="775"/>
      <c r="O471" s="775"/>
      <c r="P471" s="775"/>
      <c r="Q471" s="775" t="str">
        <f>IF(기업명!X491="","",기업명!X491)</f>
        <v/>
      </c>
      <c r="R471" s="775"/>
      <c r="S471" s="775" t="str">
        <f>IF(기업명!Z491="","",기업명!Z491)</f>
        <v/>
      </c>
      <c r="T471" s="775"/>
      <c r="U471" s="771"/>
      <c r="V471" s="771"/>
      <c r="W471" s="771"/>
      <c r="X471" s="772"/>
    </row>
    <row r="473" spans="2:25" ht="22.5">
      <c r="B473" s="768" t="s">
        <v>661</v>
      </c>
      <c r="C473" s="768"/>
      <c r="D473" s="768"/>
      <c r="E473" s="768"/>
      <c r="F473" s="768"/>
      <c r="G473" s="768"/>
      <c r="H473" s="768"/>
      <c r="I473" s="768"/>
      <c r="J473" s="768"/>
      <c r="K473" s="768"/>
      <c r="L473" s="768"/>
      <c r="M473" s="768"/>
      <c r="N473" s="768"/>
      <c r="O473" s="768"/>
      <c r="P473" s="768"/>
      <c r="Q473" s="768"/>
      <c r="R473" s="768"/>
      <c r="S473" s="768"/>
      <c r="T473" s="768"/>
      <c r="U473" s="768"/>
      <c r="V473" s="768"/>
      <c r="W473" s="768"/>
      <c r="X473" s="768"/>
    </row>
    <row r="475" spans="2:25" ht="16.5" customHeight="1">
      <c r="B475" s="150" t="s">
        <v>664</v>
      </c>
      <c r="C475" s="210" t="s">
        <v>677</v>
      </c>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row>
    <row r="476" spans="2:25">
      <c r="B476" s="151"/>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row>
    <row r="477" spans="2:25">
      <c r="B477" s="151"/>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row>
    <row r="478" spans="2:25">
      <c r="B478" s="151"/>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row>
    <row r="479" spans="2:25" ht="17.25" thickBot="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row>
    <row r="480" spans="2:25" ht="16.5" customHeight="1">
      <c r="B480" s="151"/>
      <c r="C480" s="206" t="s">
        <v>674</v>
      </c>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8"/>
    </row>
    <row r="481" spans="2:25">
      <c r="B481" s="151"/>
      <c r="C481" s="209"/>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1"/>
    </row>
    <row r="482" spans="2:25">
      <c r="B482" s="151"/>
      <c r="C482" s="209"/>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1"/>
    </row>
    <row r="483" spans="2:25">
      <c r="B483" s="151"/>
      <c r="C483" s="209"/>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1"/>
    </row>
    <row r="484" spans="2:25">
      <c r="B484" s="151"/>
      <c r="C484" s="209"/>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1"/>
    </row>
    <row r="485" spans="2:25">
      <c r="B485" s="151"/>
      <c r="C485" s="209"/>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1"/>
    </row>
    <row r="486" spans="2:25">
      <c r="B486" s="151"/>
      <c r="C486" s="209"/>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1"/>
    </row>
    <row r="487" spans="2:25">
      <c r="B487" s="151"/>
      <c r="C487" s="209"/>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1"/>
    </row>
    <row r="488" spans="2:25">
      <c r="B488" s="151"/>
      <c r="C488" s="209"/>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1"/>
    </row>
    <row r="489" spans="2:25">
      <c r="B489" s="151"/>
      <c r="C489" s="209"/>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1"/>
    </row>
    <row r="490" spans="2:25">
      <c r="B490" s="151"/>
      <c r="C490" s="209"/>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1"/>
    </row>
    <row r="491" spans="2:25">
      <c r="B491" s="151"/>
      <c r="C491" s="209"/>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1"/>
    </row>
    <row r="492" spans="2:25">
      <c r="B492" s="151"/>
      <c r="C492" s="209"/>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1"/>
    </row>
    <row r="493" spans="2:25">
      <c r="B493" s="151"/>
      <c r="C493" s="209"/>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1"/>
    </row>
    <row r="494" spans="2:25">
      <c r="B494" s="151"/>
      <c r="C494" s="209"/>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1"/>
    </row>
    <row r="495" spans="2:25">
      <c r="B495" s="151"/>
      <c r="C495" s="209"/>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1"/>
    </row>
    <row r="496" spans="2:25">
      <c r="B496" s="151"/>
      <c r="C496" s="209"/>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1"/>
    </row>
    <row r="497" spans="2:25">
      <c r="B497" s="151"/>
      <c r="C497" s="209"/>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1"/>
    </row>
    <row r="498" spans="2:25">
      <c r="B498" s="151"/>
      <c r="C498" s="209"/>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1"/>
    </row>
    <row r="499" spans="2:25">
      <c r="B499" s="151"/>
      <c r="C499" s="209"/>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1"/>
    </row>
    <row r="500" spans="2:25">
      <c r="B500" s="151"/>
      <c r="C500" s="209"/>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1"/>
    </row>
    <row r="501" spans="2:25" ht="17.25" thickBot="1">
      <c r="B501" s="151"/>
      <c r="C501" s="212"/>
      <c r="D501" s="213"/>
      <c r="E501" s="213"/>
      <c r="F501" s="213"/>
      <c r="G501" s="213"/>
      <c r="H501" s="213"/>
      <c r="I501" s="213"/>
      <c r="J501" s="213"/>
      <c r="K501" s="213"/>
      <c r="L501" s="213"/>
      <c r="M501" s="213"/>
      <c r="N501" s="213"/>
      <c r="O501" s="213"/>
      <c r="P501" s="213"/>
      <c r="Q501" s="213"/>
      <c r="R501" s="213"/>
      <c r="S501" s="213"/>
      <c r="T501" s="213"/>
      <c r="U501" s="213"/>
      <c r="V501" s="213"/>
      <c r="W501" s="213"/>
      <c r="X501" s="213"/>
      <c r="Y501" s="214"/>
    </row>
    <row r="502" spans="2:25" ht="17.25" thickBot="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row>
    <row r="503" spans="2:25">
      <c r="B503" s="152"/>
      <c r="C503" s="215" t="s">
        <v>673</v>
      </c>
      <c r="D503" s="216"/>
      <c r="E503" s="216"/>
      <c r="F503" s="217"/>
      <c r="G503" s="221" t="s">
        <v>672</v>
      </c>
      <c r="H503" s="221"/>
      <c r="I503" s="221"/>
      <c r="J503" s="221"/>
      <c r="K503" s="221"/>
      <c r="L503" s="221"/>
      <c r="M503" s="221"/>
      <c r="N503" s="221"/>
      <c r="O503" s="221"/>
      <c r="P503" s="221"/>
      <c r="Q503" s="221"/>
      <c r="R503" s="221"/>
      <c r="S503" s="221"/>
      <c r="T503" s="221"/>
      <c r="U503" s="221"/>
      <c r="V503" s="221"/>
      <c r="W503" s="221"/>
      <c r="X503" s="221"/>
      <c r="Y503" s="222"/>
    </row>
    <row r="504" spans="2:25" ht="17.25" thickBot="1">
      <c r="B504" s="152"/>
      <c r="C504" s="218"/>
      <c r="D504" s="219"/>
      <c r="E504" s="219"/>
      <c r="F504" s="220"/>
      <c r="G504" s="157" t="s">
        <v>662</v>
      </c>
      <c r="H504" s="157"/>
      <c r="I504" s="157" t="str">
        <f>IF(기업명!P524="","",기업명!P524)</f>
        <v>√</v>
      </c>
      <c r="J504" s="157" t="s">
        <v>663</v>
      </c>
      <c r="K504" s="157"/>
      <c r="L504" s="157"/>
      <c r="M504" s="157"/>
      <c r="N504" s="157" t="str">
        <f>IF(기업명!T524="","",기업명!T524)</f>
        <v/>
      </c>
      <c r="O504" s="153"/>
      <c r="P504" s="153"/>
      <c r="Q504" s="153"/>
      <c r="R504" s="153"/>
      <c r="S504" s="153"/>
      <c r="T504" s="153"/>
      <c r="U504" s="153"/>
      <c r="V504" s="153"/>
      <c r="W504" s="153"/>
      <c r="X504" s="153"/>
      <c r="Y504" s="154"/>
    </row>
    <row r="505" spans="2:25">
      <c r="B505" s="152"/>
      <c r="C505" s="215" t="s">
        <v>670</v>
      </c>
      <c r="D505" s="216"/>
      <c r="E505" s="216"/>
      <c r="F505" s="217"/>
      <c r="G505" s="221" t="s">
        <v>671</v>
      </c>
      <c r="H505" s="221"/>
      <c r="I505" s="221"/>
      <c r="J505" s="221"/>
      <c r="K505" s="221"/>
      <c r="L505" s="221"/>
      <c r="M505" s="221"/>
      <c r="N505" s="221"/>
      <c r="O505" s="221"/>
      <c r="P505" s="221"/>
      <c r="Q505" s="221"/>
      <c r="R505" s="221"/>
      <c r="S505" s="221"/>
      <c r="T505" s="221"/>
      <c r="U505" s="221"/>
      <c r="V505" s="221"/>
      <c r="W505" s="221"/>
      <c r="X505" s="221"/>
      <c r="Y505" s="222"/>
    </row>
    <row r="506" spans="2:25" ht="17.25" thickBot="1">
      <c r="B506" s="152"/>
      <c r="C506" s="218"/>
      <c r="D506" s="219"/>
      <c r="E506" s="219"/>
      <c r="F506" s="220"/>
      <c r="G506" s="157" t="s">
        <v>662</v>
      </c>
      <c r="H506" s="157"/>
      <c r="I506" s="157" t="str">
        <f>IF(기업명!P526="","",기업명!P526)</f>
        <v>√</v>
      </c>
      <c r="J506" s="157" t="s">
        <v>663</v>
      </c>
      <c r="K506" s="157"/>
      <c r="L506" s="157"/>
      <c r="M506" s="157"/>
      <c r="N506" s="157" t="str">
        <f>IF(기업명!T526="","",기업명!T526)</f>
        <v/>
      </c>
      <c r="O506" s="153"/>
      <c r="P506" s="153"/>
      <c r="Q506" s="153"/>
      <c r="R506" s="153"/>
      <c r="S506" s="153"/>
      <c r="T506" s="153"/>
      <c r="U506" s="153"/>
      <c r="V506" s="153"/>
      <c r="W506" s="153"/>
      <c r="X506" s="153"/>
      <c r="Y506" s="154"/>
    </row>
    <row r="508" spans="2:25">
      <c r="C508" s="152"/>
      <c r="D508" s="152"/>
      <c r="E508" s="152"/>
      <c r="F508" s="152"/>
      <c r="G508" s="152"/>
      <c r="H508" s="152"/>
      <c r="I508" s="152"/>
      <c r="J508" s="152"/>
      <c r="K508" s="152"/>
      <c r="L508" s="152"/>
      <c r="M508" s="152"/>
      <c r="N508" s="152"/>
      <c r="O508" s="152"/>
      <c r="P508" s="152"/>
      <c r="Q508" s="152"/>
      <c r="R508" s="152"/>
      <c r="S508" s="152"/>
      <c r="T508" s="152"/>
      <c r="U508" s="155" t="str">
        <f>기업명!$H$59 &amp; "년"</f>
        <v>2024년</v>
      </c>
      <c r="V508" s="155"/>
      <c r="W508" s="155" t="str">
        <f>기업명!$K$59 &amp; "월"</f>
        <v>2월</v>
      </c>
      <c r="X508" s="155" t="str">
        <f>기업명!$M$59 &amp; "일"</f>
        <v>26일</v>
      </c>
      <c r="Y508" s="152"/>
    </row>
    <row r="509" spans="2:25">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row>
    <row r="510" spans="2:25">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row>
    <row r="511" spans="2:25">
      <c r="C511" s="156" t="s">
        <v>666</v>
      </c>
      <c r="D511" s="152"/>
      <c r="E511" s="767" t="str">
        <f>기업명!H58</f>
        <v>㈜현대공업</v>
      </c>
      <c r="F511" s="767"/>
      <c r="G511" s="767"/>
      <c r="H511" s="767"/>
      <c r="I511" s="767"/>
      <c r="J511" s="152"/>
      <c r="K511" s="152"/>
      <c r="L511" s="152"/>
      <c r="M511" s="152"/>
      <c r="N511" s="152"/>
      <c r="O511" s="156" t="s">
        <v>667</v>
      </c>
      <c r="P511" s="152"/>
      <c r="Q511" s="767" t="str">
        <f>기업명!H70</f>
        <v>ㅇㅇㅇ</v>
      </c>
      <c r="R511" s="767"/>
      <c r="S511" s="767"/>
      <c r="T511" s="152"/>
      <c r="U511" s="111" t="s">
        <v>668</v>
      </c>
      <c r="V511" s="152"/>
      <c r="W511" s="152"/>
      <c r="X511" s="152"/>
      <c r="Y511" s="152"/>
    </row>
    <row r="512" spans="2:25">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row>
    <row r="513" spans="14:24" ht="16.5" customHeight="1">
      <c r="N513" s="766" t="s">
        <v>669</v>
      </c>
      <c r="O513" s="766"/>
      <c r="P513" s="766"/>
      <c r="Q513" s="766"/>
      <c r="R513" s="766"/>
      <c r="S513" s="766"/>
      <c r="T513" s="766"/>
      <c r="U513" s="766"/>
      <c r="V513" s="766"/>
      <c r="W513" s="766"/>
      <c r="X513" s="766"/>
    </row>
    <row r="514" spans="14:24" ht="16.5" customHeight="1">
      <c r="N514" s="766"/>
      <c r="O514" s="766"/>
      <c r="P514" s="766"/>
      <c r="Q514" s="766"/>
      <c r="R514" s="766"/>
      <c r="S514" s="766"/>
      <c r="T514" s="766"/>
      <c r="U514" s="766"/>
      <c r="V514" s="766"/>
      <c r="W514" s="766"/>
      <c r="X514" s="766"/>
    </row>
  </sheetData>
  <sheetProtection algorithmName="SHA-512" hashValue="+z3MebElLlzC+9f2EICo654uu8BFcoHy5qJK5IDSvlZ2DzxGSZT+SC2pYmQeYwBIjZkyPsBhsMZc/IHDgvOOlQ==" saltValue="cJ3vpsBYPW1EsNgGTs2I7Q==" spinCount="100000" sheet="1" objects="1" scenarios="1"/>
  <mergeCells count="1237">
    <mergeCell ref="W344:Y344"/>
    <mergeCell ref="C391:E391"/>
    <mergeCell ref="F391:H391"/>
    <mergeCell ref="I391:M391"/>
    <mergeCell ref="N391:V391"/>
    <mergeCell ref="W391:Y391"/>
    <mergeCell ref="C383:E383"/>
    <mergeCell ref="F383:H383"/>
    <mergeCell ref="I383:M383"/>
    <mergeCell ref="N383:V383"/>
    <mergeCell ref="W383:Y383"/>
    <mergeCell ref="C392:E392"/>
    <mergeCell ref="F392:H392"/>
    <mergeCell ref="I392:M392"/>
    <mergeCell ref="N392:V392"/>
    <mergeCell ref="W392:Y392"/>
    <mergeCell ref="C393:E393"/>
    <mergeCell ref="F393:H393"/>
    <mergeCell ref="I393:M393"/>
    <mergeCell ref="N393:V393"/>
    <mergeCell ref="W393:Y393"/>
    <mergeCell ref="C382:E382"/>
    <mergeCell ref="F382:H382"/>
    <mergeCell ref="I382:M382"/>
    <mergeCell ref="N382:V382"/>
    <mergeCell ref="W382:Y382"/>
    <mergeCell ref="I347:M347"/>
    <mergeCell ref="N347:V347"/>
    <mergeCell ref="W347:Y347"/>
    <mergeCell ref="C380:E380"/>
    <mergeCell ref="F380:H380"/>
    <mergeCell ref="I380:M380"/>
    <mergeCell ref="N380:V380"/>
    <mergeCell ref="W380:Y380"/>
    <mergeCell ref="C381:E381"/>
    <mergeCell ref="F381:H381"/>
    <mergeCell ref="I381:M381"/>
    <mergeCell ref="N381:V381"/>
    <mergeCell ref="W381:Y381"/>
    <mergeCell ref="W339:Y339"/>
    <mergeCell ref="C340:E340"/>
    <mergeCell ref="F340:H340"/>
    <mergeCell ref="I340:M340"/>
    <mergeCell ref="N340:V340"/>
    <mergeCell ref="W340:Y340"/>
    <mergeCell ref="C341:E341"/>
    <mergeCell ref="F341:H341"/>
    <mergeCell ref="I341:M341"/>
    <mergeCell ref="N341:V341"/>
    <mergeCell ref="W341:Y341"/>
    <mergeCell ref="C339:E339"/>
    <mergeCell ref="F339:H339"/>
    <mergeCell ref="I339:M339"/>
    <mergeCell ref="N339:V339"/>
    <mergeCell ref="C344:E344"/>
    <mergeCell ref="F344:H344"/>
    <mergeCell ref="I344:M344"/>
    <mergeCell ref="N344:V344"/>
    <mergeCell ref="C374:E374"/>
    <mergeCell ref="F374:H374"/>
    <mergeCell ref="I374:M374"/>
    <mergeCell ref="N374:V374"/>
    <mergeCell ref="W374:Y374"/>
    <mergeCell ref="C375:E375"/>
    <mergeCell ref="C420:E420"/>
    <mergeCell ref="F420:H420"/>
    <mergeCell ref="I420:M420"/>
    <mergeCell ref="N420:V420"/>
    <mergeCell ref="W420:Y420"/>
    <mergeCell ref="C419:E419"/>
    <mergeCell ref="F419:H419"/>
    <mergeCell ref="I419:M419"/>
    <mergeCell ref="N419:V419"/>
    <mergeCell ref="W419:Y419"/>
    <mergeCell ref="C417:E417"/>
    <mergeCell ref="F417:H417"/>
    <mergeCell ref="I417:M417"/>
    <mergeCell ref="N417:V417"/>
    <mergeCell ref="W417:Y417"/>
    <mergeCell ref="C418:E418"/>
    <mergeCell ref="F418:H418"/>
    <mergeCell ref="I418:M418"/>
    <mergeCell ref="C414:E414"/>
    <mergeCell ref="F414:H414"/>
    <mergeCell ref="I414:M414"/>
    <mergeCell ref="N414:V414"/>
    <mergeCell ref="W414:Y414"/>
    <mergeCell ref="N418:V418"/>
    <mergeCell ref="W418:Y418"/>
    <mergeCell ref="C415:E415"/>
    <mergeCell ref="F415:H415"/>
    <mergeCell ref="I415:M415"/>
    <mergeCell ref="N415:V415"/>
    <mergeCell ref="W415:Y415"/>
    <mergeCell ref="C416:E416"/>
    <mergeCell ref="F416:H416"/>
    <mergeCell ref="I416:M416"/>
    <mergeCell ref="N416:V416"/>
    <mergeCell ref="W416:Y416"/>
    <mergeCell ref="C411:E411"/>
    <mergeCell ref="F411:H411"/>
    <mergeCell ref="I411:M411"/>
    <mergeCell ref="N411:V411"/>
    <mergeCell ref="W411:Y411"/>
    <mergeCell ref="C412:E412"/>
    <mergeCell ref="F412:H412"/>
    <mergeCell ref="I412:M412"/>
    <mergeCell ref="N412:V412"/>
    <mergeCell ref="W412:Y412"/>
    <mergeCell ref="C413:E413"/>
    <mergeCell ref="F413:H413"/>
    <mergeCell ref="I413:M413"/>
    <mergeCell ref="N413:V413"/>
    <mergeCell ref="W413:Y413"/>
    <mergeCell ref="C407:E407"/>
    <mergeCell ref="F407:H407"/>
    <mergeCell ref="I407:M407"/>
    <mergeCell ref="N407:V407"/>
    <mergeCell ref="W407:Y407"/>
    <mergeCell ref="C408:E408"/>
    <mergeCell ref="F408:H408"/>
    <mergeCell ref="I408:M408"/>
    <mergeCell ref="N408:V408"/>
    <mergeCell ref="W408:Y408"/>
    <mergeCell ref="C409:E409"/>
    <mergeCell ref="F409:H409"/>
    <mergeCell ref="I409:M409"/>
    <mergeCell ref="N409:V409"/>
    <mergeCell ref="W409:Y409"/>
    <mergeCell ref="C410:E410"/>
    <mergeCell ref="F410:H410"/>
    <mergeCell ref="I387:M387"/>
    <mergeCell ref="N387:V387"/>
    <mergeCell ref="W387:Y387"/>
    <mergeCell ref="C388:E388"/>
    <mergeCell ref="F388:H388"/>
    <mergeCell ref="I388:M388"/>
    <mergeCell ref="N388:V388"/>
    <mergeCell ref="W388:Y388"/>
    <mergeCell ref="C389:E389"/>
    <mergeCell ref="F389:H389"/>
    <mergeCell ref="I389:M389"/>
    <mergeCell ref="N389:V389"/>
    <mergeCell ref="W389:Y389"/>
    <mergeCell ref="C390:E390"/>
    <mergeCell ref="F390:H390"/>
    <mergeCell ref="I390:M390"/>
    <mergeCell ref="N390:V390"/>
    <mergeCell ref="W390:Y390"/>
    <mergeCell ref="I410:M410"/>
    <mergeCell ref="N410:V410"/>
    <mergeCell ref="W410:Y410"/>
    <mergeCell ref="C403:E403"/>
    <mergeCell ref="F403:H403"/>
    <mergeCell ref="I403:M403"/>
    <mergeCell ref="N403:V403"/>
    <mergeCell ref="W403:Y403"/>
    <mergeCell ref="C404:E404"/>
    <mergeCell ref="F404:H404"/>
    <mergeCell ref="I404:M404"/>
    <mergeCell ref="N404:V404"/>
    <mergeCell ref="W404:Y404"/>
    <mergeCell ref="C405:E405"/>
    <mergeCell ref="F405:H405"/>
    <mergeCell ref="I405:M405"/>
    <mergeCell ref="N405:V405"/>
    <mergeCell ref="W405:Y405"/>
    <mergeCell ref="C406:E406"/>
    <mergeCell ref="F406:H406"/>
    <mergeCell ref="I406:M406"/>
    <mergeCell ref="N406:V406"/>
    <mergeCell ref="W406:Y406"/>
    <mergeCell ref="C399:E399"/>
    <mergeCell ref="F399:H399"/>
    <mergeCell ref="I399:M399"/>
    <mergeCell ref="N399:V399"/>
    <mergeCell ref="W399:Y399"/>
    <mergeCell ref="C400:E400"/>
    <mergeCell ref="F400:H400"/>
    <mergeCell ref="I400:M400"/>
    <mergeCell ref="N400:V400"/>
    <mergeCell ref="W400:Y400"/>
    <mergeCell ref="C401:E401"/>
    <mergeCell ref="F401:H401"/>
    <mergeCell ref="I401:M401"/>
    <mergeCell ref="N401:V401"/>
    <mergeCell ref="W401:Y401"/>
    <mergeCell ref="C402:E402"/>
    <mergeCell ref="F402:H402"/>
    <mergeCell ref="I402:M402"/>
    <mergeCell ref="N402:V402"/>
    <mergeCell ref="W402:Y402"/>
    <mergeCell ref="C395:E395"/>
    <mergeCell ref="F395:H395"/>
    <mergeCell ref="I395:M395"/>
    <mergeCell ref="N395:V395"/>
    <mergeCell ref="W395:Y395"/>
    <mergeCell ref="C396:E396"/>
    <mergeCell ref="F396:H396"/>
    <mergeCell ref="I396:M396"/>
    <mergeCell ref="N396:V396"/>
    <mergeCell ref="W396:Y396"/>
    <mergeCell ref="C397:E397"/>
    <mergeCell ref="F397:H397"/>
    <mergeCell ref="I397:M397"/>
    <mergeCell ref="N397:V397"/>
    <mergeCell ref="W397:Y397"/>
    <mergeCell ref="C398:E398"/>
    <mergeCell ref="F398:H398"/>
    <mergeCell ref="I398:M398"/>
    <mergeCell ref="N398:V398"/>
    <mergeCell ref="W398:Y398"/>
    <mergeCell ref="C394:E394"/>
    <mergeCell ref="F394:H394"/>
    <mergeCell ref="I394:M394"/>
    <mergeCell ref="N394:V394"/>
    <mergeCell ref="W394:Y394"/>
    <mergeCell ref="C378:E378"/>
    <mergeCell ref="F378:H378"/>
    <mergeCell ref="I378:M378"/>
    <mergeCell ref="N378:V378"/>
    <mergeCell ref="W378:Y378"/>
    <mergeCell ref="C379:E379"/>
    <mergeCell ref="F379:H379"/>
    <mergeCell ref="I379:M379"/>
    <mergeCell ref="N379:V379"/>
    <mergeCell ref="W379:Y379"/>
    <mergeCell ref="C384:E384"/>
    <mergeCell ref="F384:H384"/>
    <mergeCell ref="I384:M384"/>
    <mergeCell ref="N384:V384"/>
    <mergeCell ref="W384:Y384"/>
    <mergeCell ref="C385:E385"/>
    <mergeCell ref="F385:H385"/>
    <mergeCell ref="I385:M385"/>
    <mergeCell ref="N385:V385"/>
    <mergeCell ref="W385:Y385"/>
    <mergeCell ref="C386:E386"/>
    <mergeCell ref="F386:H386"/>
    <mergeCell ref="I386:M386"/>
    <mergeCell ref="N386:V386"/>
    <mergeCell ref="W386:Y386"/>
    <mergeCell ref="C387:E387"/>
    <mergeCell ref="F387:H387"/>
    <mergeCell ref="F375:H375"/>
    <mergeCell ref="I375:M375"/>
    <mergeCell ref="N375:V375"/>
    <mergeCell ref="W375:Y375"/>
    <mergeCell ref="C376:E376"/>
    <mergeCell ref="F376:H376"/>
    <mergeCell ref="I376:M376"/>
    <mergeCell ref="N376:V376"/>
    <mergeCell ref="W376:Y376"/>
    <mergeCell ref="C377:E377"/>
    <mergeCell ref="F377:H377"/>
    <mergeCell ref="I377:M377"/>
    <mergeCell ref="N377:V377"/>
    <mergeCell ref="W377:Y377"/>
    <mergeCell ref="C370:E370"/>
    <mergeCell ref="F370:H370"/>
    <mergeCell ref="I370:M370"/>
    <mergeCell ref="N370:V370"/>
    <mergeCell ref="W370:Y370"/>
    <mergeCell ref="C371:E371"/>
    <mergeCell ref="F371:H371"/>
    <mergeCell ref="I371:M371"/>
    <mergeCell ref="N371:V371"/>
    <mergeCell ref="W371:Y371"/>
    <mergeCell ref="C372:E372"/>
    <mergeCell ref="F372:H372"/>
    <mergeCell ref="I372:M372"/>
    <mergeCell ref="N372:V372"/>
    <mergeCell ref="W372:Y372"/>
    <mergeCell ref="C373:E373"/>
    <mergeCell ref="F373:H373"/>
    <mergeCell ref="I373:M373"/>
    <mergeCell ref="N373:V373"/>
    <mergeCell ref="W373:Y373"/>
    <mergeCell ref="C366:E366"/>
    <mergeCell ref="F366:H366"/>
    <mergeCell ref="I366:M366"/>
    <mergeCell ref="N366:V366"/>
    <mergeCell ref="W366:Y366"/>
    <mergeCell ref="C367:E367"/>
    <mergeCell ref="F367:H367"/>
    <mergeCell ref="I367:M367"/>
    <mergeCell ref="N367:V367"/>
    <mergeCell ref="W367:Y367"/>
    <mergeCell ref="C368:E368"/>
    <mergeCell ref="F368:H368"/>
    <mergeCell ref="I368:M368"/>
    <mergeCell ref="N368:V368"/>
    <mergeCell ref="W368:Y368"/>
    <mergeCell ref="C369:E369"/>
    <mergeCell ref="F369:H369"/>
    <mergeCell ref="I369:M369"/>
    <mergeCell ref="N369:V369"/>
    <mergeCell ref="W369:Y369"/>
    <mergeCell ref="C362:E362"/>
    <mergeCell ref="F362:H362"/>
    <mergeCell ref="I362:M362"/>
    <mergeCell ref="N362:V362"/>
    <mergeCell ref="W362:Y362"/>
    <mergeCell ref="C363:E363"/>
    <mergeCell ref="F363:H363"/>
    <mergeCell ref="I363:M363"/>
    <mergeCell ref="N363:V363"/>
    <mergeCell ref="W363:Y363"/>
    <mergeCell ref="C364:E364"/>
    <mergeCell ref="F364:H364"/>
    <mergeCell ref="I364:M364"/>
    <mergeCell ref="N364:V364"/>
    <mergeCell ref="W364:Y364"/>
    <mergeCell ref="C365:E365"/>
    <mergeCell ref="F365:H365"/>
    <mergeCell ref="I365:M365"/>
    <mergeCell ref="N365:V365"/>
    <mergeCell ref="W365:Y365"/>
    <mergeCell ref="C358:E358"/>
    <mergeCell ref="F358:H358"/>
    <mergeCell ref="I358:M358"/>
    <mergeCell ref="N358:V358"/>
    <mergeCell ref="W358:Y358"/>
    <mergeCell ref="C359:E359"/>
    <mergeCell ref="F359:H359"/>
    <mergeCell ref="I359:M359"/>
    <mergeCell ref="N359:V359"/>
    <mergeCell ref="W359:Y359"/>
    <mergeCell ref="C360:E360"/>
    <mergeCell ref="F360:H360"/>
    <mergeCell ref="I360:M360"/>
    <mergeCell ref="N360:V360"/>
    <mergeCell ref="W360:Y360"/>
    <mergeCell ref="C361:E361"/>
    <mergeCell ref="F361:H361"/>
    <mergeCell ref="I361:M361"/>
    <mergeCell ref="N361:V361"/>
    <mergeCell ref="W361:Y361"/>
    <mergeCell ref="C354:E354"/>
    <mergeCell ref="F354:H354"/>
    <mergeCell ref="I354:M354"/>
    <mergeCell ref="N354:V354"/>
    <mergeCell ref="W354:Y354"/>
    <mergeCell ref="C355:E355"/>
    <mergeCell ref="F355:H355"/>
    <mergeCell ref="I355:M355"/>
    <mergeCell ref="N355:V355"/>
    <mergeCell ref="W355:Y355"/>
    <mergeCell ref="C356:E356"/>
    <mergeCell ref="F356:H356"/>
    <mergeCell ref="I356:M356"/>
    <mergeCell ref="N356:V356"/>
    <mergeCell ref="W356:Y356"/>
    <mergeCell ref="C357:E357"/>
    <mergeCell ref="F357:H357"/>
    <mergeCell ref="I357:M357"/>
    <mergeCell ref="N357:V357"/>
    <mergeCell ref="W357:Y357"/>
    <mergeCell ref="C350:E350"/>
    <mergeCell ref="F350:H350"/>
    <mergeCell ref="I350:M350"/>
    <mergeCell ref="N350:V350"/>
    <mergeCell ref="W350:Y350"/>
    <mergeCell ref="C351:E351"/>
    <mergeCell ref="F351:H351"/>
    <mergeCell ref="I351:M351"/>
    <mergeCell ref="N351:V351"/>
    <mergeCell ref="W351:Y351"/>
    <mergeCell ref="C352:E352"/>
    <mergeCell ref="F352:H352"/>
    <mergeCell ref="I352:M352"/>
    <mergeCell ref="N352:V352"/>
    <mergeCell ref="W352:Y352"/>
    <mergeCell ref="C353:E353"/>
    <mergeCell ref="F353:H353"/>
    <mergeCell ref="I353:M353"/>
    <mergeCell ref="N353:V353"/>
    <mergeCell ref="W353:Y353"/>
    <mergeCell ref="C342:E342"/>
    <mergeCell ref="F342:H342"/>
    <mergeCell ref="I342:M342"/>
    <mergeCell ref="N342:V342"/>
    <mergeCell ref="W342:Y342"/>
    <mergeCell ref="C343:E343"/>
    <mergeCell ref="F343:H343"/>
    <mergeCell ref="I343:M343"/>
    <mergeCell ref="N343:V343"/>
    <mergeCell ref="W343:Y343"/>
    <mergeCell ref="C348:E348"/>
    <mergeCell ref="F348:H348"/>
    <mergeCell ref="I348:M348"/>
    <mergeCell ref="N348:V348"/>
    <mergeCell ref="W348:Y348"/>
    <mergeCell ref="C349:E349"/>
    <mergeCell ref="F349:H349"/>
    <mergeCell ref="I349:M349"/>
    <mergeCell ref="N349:V349"/>
    <mergeCell ref="W349:Y349"/>
    <mergeCell ref="C345:E345"/>
    <mergeCell ref="F345:H345"/>
    <mergeCell ref="I345:M345"/>
    <mergeCell ref="N345:V345"/>
    <mergeCell ref="W345:Y345"/>
    <mergeCell ref="C346:E346"/>
    <mergeCell ref="F346:H346"/>
    <mergeCell ref="I346:M346"/>
    <mergeCell ref="N346:V346"/>
    <mergeCell ref="W346:Y346"/>
    <mergeCell ref="C347:E347"/>
    <mergeCell ref="F347:H347"/>
    <mergeCell ref="C329:I330"/>
    <mergeCell ref="C331:I331"/>
    <mergeCell ref="J331:R331"/>
    <mergeCell ref="S331:Y331"/>
    <mergeCell ref="C332:I332"/>
    <mergeCell ref="J332:R332"/>
    <mergeCell ref="S332:Y332"/>
    <mergeCell ref="J329:R330"/>
    <mergeCell ref="S329:Y330"/>
    <mergeCell ref="C337:E337"/>
    <mergeCell ref="F337:H337"/>
    <mergeCell ref="I337:M337"/>
    <mergeCell ref="N337:V337"/>
    <mergeCell ref="W337:Y337"/>
    <mergeCell ref="C338:E338"/>
    <mergeCell ref="F338:H338"/>
    <mergeCell ref="I338:M338"/>
    <mergeCell ref="N338:V338"/>
    <mergeCell ref="W338:Y338"/>
    <mergeCell ref="W335:Y335"/>
    <mergeCell ref="C336:E336"/>
    <mergeCell ref="F336:H336"/>
    <mergeCell ref="I336:M336"/>
    <mergeCell ref="W336:Y336"/>
    <mergeCell ref="N336:V336"/>
    <mergeCell ref="X297:Y298"/>
    <mergeCell ref="B295:B296"/>
    <mergeCell ref="C295:D296"/>
    <mergeCell ref="E295:G296"/>
    <mergeCell ref="H295:K296"/>
    <mergeCell ref="L295:O296"/>
    <mergeCell ref="P295:S296"/>
    <mergeCell ref="T295:U296"/>
    <mergeCell ref="V295:W296"/>
    <mergeCell ref="X295:Y296"/>
    <mergeCell ref="B297:B298"/>
    <mergeCell ref="C297:D298"/>
    <mergeCell ref="E297:G298"/>
    <mergeCell ref="H297:K298"/>
    <mergeCell ref="L297:O298"/>
    <mergeCell ref="P297:S298"/>
    <mergeCell ref="T297:U298"/>
    <mergeCell ref="V297:W298"/>
    <mergeCell ref="B293:B294"/>
    <mergeCell ref="C293:D294"/>
    <mergeCell ref="E293:G294"/>
    <mergeCell ref="H293:K294"/>
    <mergeCell ref="L293:O294"/>
    <mergeCell ref="P293:S294"/>
    <mergeCell ref="T293:U294"/>
    <mergeCell ref="V293:W294"/>
    <mergeCell ref="X293:Y294"/>
    <mergeCell ref="B291:B292"/>
    <mergeCell ref="C291:D292"/>
    <mergeCell ref="E291:G292"/>
    <mergeCell ref="H291:K292"/>
    <mergeCell ref="L291:O292"/>
    <mergeCell ref="P291:S292"/>
    <mergeCell ref="T291:U292"/>
    <mergeCell ref="V291:W292"/>
    <mergeCell ref="X291:Y292"/>
    <mergeCell ref="E269:G270"/>
    <mergeCell ref="H269:K270"/>
    <mergeCell ref="V275:W276"/>
    <mergeCell ref="X275:Y276"/>
    <mergeCell ref="B277:B278"/>
    <mergeCell ref="C277:D278"/>
    <mergeCell ref="E277:G278"/>
    <mergeCell ref="H277:K278"/>
    <mergeCell ref="L277:O278"/>
    <mergeCell ref="P277:S278"/>
    <mergeCell ref="T277:U278"/>
    <mergeCell ref="V277:W278"/>
    <mergeCell ref="X277:Y278"/>
    <mergeCell ref="B275:B276"/>
    <mergeCell ref="B271:B272"/>
    <mergeCell ref="C271:D272"/>
    <mergeCell ref="E271:G272"/>
    <mergeCell ref="H271:K272"/>
    <mergeCell ref="L271:O272"/>
    <mergeCell ref="P271:S272"/>
    <mergeCell ref="T271:U272"/>
    <mergeCell ref="V271:W272"/>
    <mergeCell ref="C275:D276"/>
    <mergeCell ref="E275:G276"/>
    <mergeCell ref="H275:K276"/>
    <mergeCell ref="L275:O276"/>
    <mergeCell ref="L269:O270"/>
    <mergeCell ref="P269:S270"/>
    <mergeCell ref="T269:U270"/>
    <mergeCell ref="H273:K274"/>
    <mergeCell ref="P275:S276"/>
    <mergeCell ref="T275:U276"/>
    <mergeCell ref="T265:U266"/>
    <mergeCell ref="V265:W266"/>
    <mergeCell ref="X265:Y266"/>
    <mergeCell ref="V259:W260"/>
    <mergeCell ref="X259:Y260"/>
    <mergeCell ref="B263:B264"/>
    <mergeCell ref="C263:D264"/>
    <mergeCell ref="E263:G264"/>
    <mergeCell ref="H263:K264"/>
    <mergeCell ref="L263:O264"/>
    <mergeCell ref="P263:S264"/>
    <mergeCell ref="T263:U264"/>
    <mergeCell ref="H261:K262"/>
    <mergeCell ref="B261:B262"/>
    <mergeCell ref="B259:B260"/>
    <mergeCell ref="C259:D260"/>
    <mergeCell ref="E259:G260"/>
    <mergeCell ref="U207:Y208"/>
    <mergeCell ref="F209:J210"/>
    <mergeCell ref="K209:O210"/>
    <mergeCell ref="P209:T210"/>
    <mergeCell ref="U209:Y210"/>
    <mergeCell ref="F229:J230"/>
    <mergeCell ref="K229:O230"/>
    <mergeCell ref="P229:T230"/>
    <mergeCell ref="K217:O218"/>
    <mergeCell ref="P217:T218"/>
    <mergeCell ref="F227:J228"/>
    <mergeCell ref="K227:O228"/>
    <mergeCell ref="P227:T228"/>
    <mergeCell ref="U227:Y228"/>
    <mergeCell ref="P221:T222"/>
    <mergeCell ref="U221:Y222"/>
    <mergeCell ref="F223:J224"/>
    <mergeCell ref="K223:O224"/>
    <mergeCell ref="P223:T224"/>
    <mergeCell ref="U223:Y224"/>
    <mergeCell ref="F225:J226"/>
    <mergeCell ref="K225:O226"/>
    <mergeCell ref="P225:T226"/>
    <mergeCell ref="U225:Y226"/>
    <mergeCell ref="U215:Y216"/>
    <mergeCell ref="F217:J218"/>
    <mergeCell ref="C127:X133"/>
    <mergeCell ref="C135:X137"/>
    <mergeCell ref="C139:X141"/>
    <mergeCell ref="G116:K116"/>
    <mergeCell ref="L116:P116"/>
    <mergeCell ref="Q116:U116"/>
    <mergeCell ref="B107:D107"/>
    <mergeCell ref="V116:X116"/>
    <mergeCell ref="F221:J222"/>
    <mergeCell ref="K221:O222"/>
    <mergeCell ref="C226:E226"/>
    <mergeCell ref="C227:E227"/>
    <mergeCell ref="C228:E228"/>
    <mergeCell ref="F201:J202"/>
    <mergeCell ref="K201:O202"/>
    <mergeCell ref="P201:T202"/>
    <mergeCell ref="U201:Y202"/>
    <mergeCell ref="P197:T198"/>
    <mergeCell ref="U197:Y198"/>
    <mergeCell ref="D171:M171"/>
    <mergeCell ref="N171:S171"/>
    <mergeCell ref="T171:Y171"/>
    <mergeCell ref="D172:M172"/>
    <mergeCell ref="N172:S172"/>
    <mergeCell ref="T172:Y172"/>
    <mergeCell ref="F195:J196"/>
    <mergeCell ref="K195:O196"/>
    <mergeCell ref="F197:J198"/>
    <mergeCell ref="K197:O198"/>
    <mergeCell ref="C193:E193"/>
    <mergeCell ref="C194:E194"/>
    <mergeCell ref="C195:E195"/>
    <mergeCell ref="D180:M180"/>
    <mergeCell ref="N180:S180"/>
    <mergeCell ref="N181:S181"/>
    <mergeCell ref="T181:Y181"/>
    <mergeCell ref="T170:Y170"/>
    <mergeCell ref="N170:S170"/>
    <mergeCell ref="T179:Y179"/>
    <mergeCell ref="D183:M183"/>
    <mergeCell ref="N183:S183"/>
    <mergeCell ref="T183:Y183"/>
    <mergeCell ref="D170:M170"/>
    <mergeCell ref="D147:F147"/>
    <mergeCell ref="D148:F148"/>
    <mergeCell ref="D165:F165"/>
    <mergeCell ref="D166:F166"/>
    <mergeCell ref="V147:Y147"/>
    <mergeCell ref="T147:U147"/>
    <mergeCell ref="G147:S147"/>
    <mergeCell ref="G148:Y148"/>
    <mergeCell ref="S165:Y165"/>
    <mergeCell ref="G166:Y166"/>
    <mergeCell ref="G165:H165"/>
    <mergeCell ref="I165:M165"/>
    <mergeCell ref="N165:O165"/>
    <mergeCell ref="P165:R165"/>
    <mergeCell ref="T180:Y180"/>
    <mergeCell ref="D181:M181"/>
    <mergeCell ref="D149:F164"/>
    <mergeCell ref="G149:Y164"/>
    <mergeCell ref="D182:M182"/>
    <mergeCell ref="N182:S182"/>
    <mergeCell ref="T182:Y182"/>
    <mergeCell ref="C225:E225"/>
    <mergeCell ref="C205:E205"/>
    <mergeCell ref="C206:E206"/>
    <mergeCell ref="K199:O200"/>
    <mergeCell ref="C116:F116"/>
    <mergeCell ref="C117:F117"/>
    <mergeCell ref="D173:M173"/>
    <mergeCell ref="N173:S173"/>
    <mergeCell ref="T173:Y173"/>
    <mergeCell ref="D174:M174"/>
    <mergeCell ref="N174:S174"/>
    <mergeCell ref="T174:Y174"/>
    <mergeCell ref="D179:M179"/>
    <mergeCell ref="N179:S179"/>
    <mergeCell ref="C191:E192"/>
    <mergeCell ref="F192:J192"/>
    <mergeCell ref="K192:O192"/>
    <mergeCell ref="D177:M177"/>
    <mergeCell ref="N177:S177"/>
    <mergeCell ref="T177:Y177"/>
    <mergeCell ref="D178:M178"/>
    <mergeCell ref="N178:S178"/>
    <mergeCell ref="T178:Y178"/>
    <mergeCell ref="D175:M175"/>
    <mergeCell ref="N175:S175"/>
    <mergeCell ref="T175:Y175"/>
    <mergeCell ref="D176:M176"/>
    <mergeCell ref="N176:S176"/>
    <mergeCell ref="T176:Y176"/>
    <mergeCell ref="P192:T192"/>
    <mergeCell ref="U192:Y192"/>
    <mergeCell ref="F191:O191"/>
    <mergeCell ref="T253:U254"/>
    <mergeCell ref="T255:U256"/>
    <mergeCell ref="T257:U258"/>
    <mergeCell ref="P255:S256"/>
    <mergeCell ref="L247:O248"/>
    <mergeCell ref="L249:O250"/>
    <mergeCell ref="L245:O246"/>
    <mergeCell ref="T245:U246"/>
    <mergeCell ref="P243:S244"/>
    <mergeCell ref="P245:S246"/>
    <mergeCell ref="V245:W246"/>
    <mergeCell ref="X243:Y244"/>
    <mergeCell ref="C237:Y238"/>
    <mergeCell ref="F203:J204"/>
    <mergeCell ref="K203:O204"/>
    <mergeCell ref="P203:T204"/>
    <mergeCell ref="U203:Y204"/>
    <mergeCell ref="V253:W254"/>
    <mergeCell ref="X253:Y254"/>
    <mergeCell ref="V243:W244"/>
    <mergeCell ref="C247:D248"/>
    <mergeCell ref="C249:D250"/>
    <mergeCell ref="C251:D252"/>
    <mergeCell ref="P249:S250"/>
    <mergeCell ref="P251:S252"/>
    <mergeCell ref="T249:U250"/>
    <mergeCell ref="T251:U252"/>
    <mergeCell ref="V247:W248"/>
    <mergeCell ref="X247:Y248"/>
    <mergeCell ref="V249:W250"/>
    <mergeCell ref="X255:Y256"/>
    <mergeCell ref="C255:D256"/>
    <mergeCell ref="C257:D258"/>
    <mergeCell ref="P253:S254"/>
    <mergeCell ref="P191:Y191"/>
    <mergeCell ref="F193:J194"/>
    <mergeCell ref="K193:O194"/>
    <mergeCell ref="P193:T194"/>
    <mergeCell ref="P247:S248"/>
    <mergeCell ref="X245:Y246"/>
    <mergeCell ref="H241:K242"/>
    <mergeCell ref="E241:G242"/>
    <mergeCell ref="U217:Y218"/>
    <mergeCell ref="F199:J200"/>
    <mergeCell ref="T267:U268"/>
    <mergeCell ref="P273:S274"/>
    <mergeCell ref="T273:U274"/>
    <mergeCell ref="X249:Y250"/>
    <mergeCell ref="V251:W252"/>
    <mergeCell ref="X251:Y252"/>
    <mergeCell ref="U199:Y200"/>
    <mergeCell ref="C241:D242"/>
    <mergeCell ref="F219:J220"/>
    <mergeCell ref="K219:O220"/>
    <mergeCell ref="P219:T220"/>
    <mergeCell ref="U219:Y220"/>
    <mergeCell ref="F211:J212"/>
    <mergeCell ref="K211:O212"/>
    <mergeCell ref="C221:E221"/>
    <mergeCell ref="C222:E222"/>
    <mergeCell ref="C223:E223"/>
    <mergeCell ref="C224:E224"/>
    <mergeCell ref="P257:S258"/>
    <mergeCell ref="T243:U244"/>
    <mergeCell ref="P279:S280"/>
    <mergeCell ref="V263:W264"/>
    <mergeCell ref="X263:Y264"/>
    <mergeCell ref="T279:U280"/>
    <mergeCell ref="L279:O280"/>
    <mergeCell ref="H279:K280"/>
    <mergeCell ref="L273:O274"/>
    <mergeCell ref="C261:D262"/>
    <mergeCell ref="E261:G262"/>
    <mergeCell ref="T184:Y184"/>
    <mergeCell ref="N184:S184"/>
    <mergeCell ref="D184:M184"/>
    <mergeCell ref="V257:W258"/>
    <mergeCell ref="D186:M186"/>
    <mergeCell ref="N186:S186"/>
    <mergeCell ref="T186:Y186"/>
    <mergeCell ref="T185:Y185"/>
    <mergeCell ref="N185:S185"/>
    <mergeCell ref="D185:M185"/>
    <mergeCell ref="U229:Y230"/>
    <mergeCell ref="F205:J206"/>
    <mergeCell ref="K205:O206"/>
    <mergeCell ref="P205:T206"/>
    <mergeCell ref="U205:Y206"/>
    <mergeCell ref="F207:J208"/>
    <mergeCell ref="K207:O208"/>
    <mergeCell ref="P207:T208"/>
    <mergeCell ref="X257:Y258"/>
    <mergeCell ref="X261:Y262"/>
    <mergeCell ref="V261:W262"/>
    <mergeCell ref="V255:W256"/>
    <mergeCell ref="U231:Y232"/>
    <mergeCell ref="P241:S242"/>
    <mergeCell ref="L241:O242"/>
    <mergeCell ref="V285:W286"/>
    <mergeCell ref="X285:Y286"/>
    <mergeCell ref="X271:Y272"/>
    <mergeCell ref="T281:U282"/>
    <mergeCell ref="T283:U284"/>
    <mergeCell ref="T287:U288"/>
    <mergeCell ref="T285:U286"/>
    <mergeCell ref="P261:S262"/>
    <mergeCell ref="T261:U262"/>
    <mergeCell ref="L259:O260"/>
    <mergeCell ref="P259:S260"/>
    <mergeCell ref="T259:U260"/>
    <mergeCell ref="L257:O258"/>
    <mergeCell ref="V287:W288"/>
    <mergeCell ref="X287:Y288"/>
    <mergeCell ref="V283:W284"/>
    <mergeCell ref="X283:Y284"/>
    <mergeCell ref="V281:W282"/>
    <mergeCell ref="X281:Y282"/>
    <mergeCell ref="V279:W280"/>
    <mergeCell ref="X279:Y280"/>
    <mergeCell ref="V267:W268"/>
    <mergeCell ref="X267:Y268"/>
    <mergeCell ref="V273:W274"/>
    <mergeCell ref="X273:Y274"/>
    <mergeCell ref="V269:W270"/>
    <mergeCell ref="X269:Y270"/>
    <mergeCell ref="L261:O262"/>
    <mergeCell ref="L251:O252"/>
    <mergeCell ref="T247:U248"/>
    <mergeCell ref="K103:M104"/>
    <mergeCell ref="N103:Y104"/>
    <mergeCell ref="B103:D104"/>
    <mergeCell ref="E103:J104"/>
    <mergeCell ref="G117:K117"/>
    <mergeCell ref="L117:P117"/>
    <mergeCell ref="Q117:U117"/>
    <mergeCell ref="V117:X117"/>
    <mergeCell ref="V123:X123"/>
    <mergeCell ref="E243:G244"/>
    <mergeCell ref="V241:Y241"/>
    <mergeCell ref="V242:W242"/>
    <mergeCell ref="X242:Y242"/>
    <mergeCell ref="T241:U242"/>
    <mergeCell ref="L124:P124"/>
    <mergeCell ref="Q124:U124"/>
    <mergeCell ref="V124:X124"/>
    <mergeCell ref="C125:F125"/>
    <mergeCell ref="G125:K125"/>
    <mergeCell ref="L125:P125"/>
    <mergeCell ref="Q125:U125"/>
    <mergeCell ref="V125:X125"/>
    <mergeCell ref="C120:F120"/>
    <mergeCell ref="G120:K120"/>
    <mergeCell ref="L120:P120"/>
    <mergeCell ref="L119:P119"/>
    <mergeCell ref="Q119:U119"/>
    <mergeCell ref="V119:X119"/>
    <mergeCell ref="L243:O244"/>
    <mergeCell ref="F231:J232"/>
    <mergeCell ref="K231:O232"/>
    <mergeCell ref="P231:T232"/>
    <mergeCell ref="P195:T196"/>
    <mergeCell ref="U195:Y196"/>
    <mergeCell ref="B243:B244"/>
    <mergeCell ref="B245:B246"/>
    <mergeCell ref="B99:D102"/>
    <mergeCell ref="E99:J102"/>
    <mergeCell ref="E105:Y105"/>
    <mergeCell ref="V99:Y99"/>
    <mergeCell ref="V100:Y100"/>
    <mergeCell ref="V101:Y101"/>
    <mergeCell ref="V102:Y102"/>
    <mergeCell ref="K99:M102"/>
    <mergeCell ref="O99:T99"/>
    <mergeCell ref="O100:T100"/>
    <mergeCell ref="O101:T101"/>
    <mergeCell ref="O102:T102"/>
    <mergeCell ref="B105:D105"/>
    <mergeCell ref="B108:D108"/>
    <mergeCell ref="B109:D109"/>
    <mergeCell ref="E109:K109"/>
    <mergeCell ref="L109:R109"/>
    <mergeCell ref="S109:Y109"/>
    <mergeCell ref="E108:K108"/>
    <mergeCell ref="L108:R108"/>
    <mergeCell ref="S108:Y108"/>
    <mergeCell ref="E107:K107"/>
    <mergeCell ref="L107:R107"/>
    <mergeCell ref="S107:Y107"/>
    <mergeCell ref="C198:E198"/>
    <mergeCell ref="C199:E199"/>
    <mergeCell ref="C200:E200"/>
    <mergeCell ref="C201:E201"/>
    <mergeCell ref="C273:D274"/>
    <mergeCell ref="E273:G274"/>
    <mergeCell ref="B253:B254"/>
    <mergeCell ref="B255:B256"/>
    <mergeCell ref="B257:B258"/>
    <mergeCell ref="C253:D254"/>
    <mergeCell ref="E257:G258"/>
    <mergeCell ref="E255:G256"/>
    <mergeCell ref="C112:X114"/>
    <mergeCell ref="U193:Y194"/>
    <mergeCell ref="B249:B250"/>
    <mergeCell ref="B251:B252"/>
    <mergeCell ref="E251:G252"/>
    <mergeCell ref="E249:G250"/>
    <mergeCell ref="E247:G248"/>
    <mergeCell ref="E245:G246"/>
    <mergeCell ref="H243:K244"/>
    <mergeCell ref="H245:K246"/>
    <mergeCell ref="H247:K248"/>
    <mergeCell ref="H249:K250"/>
    <mergeCell ref="H251:K252"/>
    <mergeCell ref="C243:D244"/>
    <mergeCell ref="C245:D246"/>
    <mergeCell ref="P211:T212"/>
    <mergeCell ref="U211:Y212"/>
    <mergeCell ref="F213:J214"/>
    <mergeCell ref="K213:O214"/>
    <mergeCell ref="P213:T214"/>
    <mergeCell ref="U213:Y214"/>
    <mergeCell ref="F215:J216"/>
    <mergeCell ref="K215:O216"/>
    <mergeCell ref="P215:T216"/>
    <mergeCell ref="L281:O282"/>
    <mergeCell ref="L253:O254"/>
    <mergeCell ref="L255:O256"/>
    <mergeCell ref="L267:O268"/>
    <mergeCell ref="P267:S268"/>
    <mergeCell ref="B265:B266"/>
    <mergeCell ref="C265:D266"/>
    <mergeCell ref="E265:G266"/>
    <mergeCell ref="H265:K266"/>
    <mergeCell ref="L265:O266"/>
    <mergeCell ref="P265:S266"/>
    <mergeCell ref="B269:B270"/>
    <mergeCell ref="C269:D270"/>
    <mergeCell ref="P199:T200"/>
    <mergeCell ref="B247:B248"/>
    <mergeCell ref="E279:G280"/>
    <mergeCell ref="P281:S282"/>
    <mergeCell ref="H253:K254"/>
    <mergeCell ref="H255:K256"/>
    <mergeCell ref="H257:K258"/>
    <mergeCell ref="H259:K260"/>
    <mergeCell ref="B267:B268"/>
    <mergeCell ref="C267:D268"/>
    <mergeCell ref="E267:G268"/>
    <mergeCell ref="H267:K268"/>
    <mergeCell ref="H281:K282"/>
    <mergeCell ref="E281:G282"/>
    <mergeCell ref="C281:D282"/>
    <mergeCell ref="B281:B282"/>
    <mergeCell ref="C279:D280"/>
    <mergeCell ref="B279:B280"/>
    <mergeCell ref="B273:B274"/>
    <mergeCell ref="E285:G286"/>
    <mergeCell ref="H285:K286"/>
    <mergeCell ref="L285:O286"/>
    <mergeCell ref="P285:S286"/>
    <mergeCell ref="C287:D288"/>
    <mergeCell ref="L287:O288"/>
    <mergeCell ref="H287:K288"/>
    <mergeCell ref="E287:G288"/>
    <mergeCell ref="B287:B288"/>
    <mergeCell ref="B289:B290"/>
    <mergeCell ref="C289:D290"/>
    <mergeCell ref="E289:G290"/>
    <mergeCell ref="P287:S288"/>
    <mergeCell ref="H289:K290"/>
    <mergeCell ref="L289:O290"/>
    <mergeCell ref="P289:S290"/>
    <mergeCell ref="L283:O284"/>
    <mergeCell ref="P283:S284"/>
    <mergeCell ref="H283:K284"/>
    <mergeCell ref="E283:G284"/>
    <mergeCell ref="C283:D284"/>
    <mergeCell ref="B283:B284"/>
    <mergeCell ref="C202:E202"/>
    <mergeCell ref="C203:E203"/>
    <mergeCell ref="C204:E204"/>
    <mergeCell ref="V328:Y328"/>
    <mergeCell ref="X299:Y300"/>
    <mergeCell ref="B299:B300"/>
    <mergeCell ref="C299:D300"/>
    <mergeCell ref="T299:U300"/>
    <mergeCell ref="P299:S300"/>
    <mergeCell ref="L299:O300"/>
    <mergeCell ref="H299:K300"/>
    <mergeCell ref="E299:G300"/>
    <mergeCell ref="B301:B302"/>
    <mergeCell ref="C301:D302"/>
    <mergeCell ref="E301:G302"/>
    <mergeCell ref="H301:K302"/>
    <mergeCell ref="L301:O302"/>
    <mergeCell ref="P301:S302"/>
    <mergeCell ref="T301:U302"/>
    <mergeCell ref="V301:W302"/>
    <mergeCell ref="X301:Y302"/>
    <mergeCell ref="V299:W300"/>
    <mergeCell ref="T289:U290"/>
    <mergeCell ref="V289:W290"/>
    <mergeCell ref="X289:Y290"/>
    <mergeCell ref="B285:B286"/>
    <mergeCell ref="E253:G254"/>
    <mergeCell ref="C285:D286"/>
    <mergeCell ref="C207:E207"/>
    <mergeCell ref="C208:E208"/>
    <mergeCell ref="C209:E209"/>
    <mergeCell ref="C210:E210"/>
    <mergeCell ref="C211:E211"/>
    <mergeCell ref="C212:E212"/>
    <mergeCell ref="C213:E213"/>
    <mergeCell ref="C214:E214"/>
    <mergeCell ref="C215:E215"/>
    <mergeCell ref="C216:E216"/>
    <mergeCell ref="T6:Y7"/>
    <mergeCell ref="T8:Y9"/>
    <mergeCell ref="T19:Y20"/>
    <mergeCell ref="T21:Y22"/>
    <mergeCell ref="D6:H7"/>
    <mergeCell ref="D19:H20"/>
    <mergeCell ref="D21:H22"/>
    <mergeCell ref="O13:R14"/>
    <mergeCell ref="S13:T13"/>
    <mergeCell ref="S14:T14"/>
    <mergeCell ref="U13:Y13"/>
    <mergeCell ref="U14:Y14"/>
    <mergeCell ref="D24:H27"/>
    <mergeCell ref="I24:J25"/>
    <mergeCell ref="I26:J27"/>
    <mergeCell ref="K24:N25"/>
    <mergeCell ref="K26:N27"/>
    <mergeCell ref="O24:R25"/>
    <mergeCell ref="S24:Y25"/>
    <mergeCell ref="O26:R27"/>
    <mergeCell ref="C196:E196"/>
    <mergeCell ref="C197:E197"/>
    <mergeCell ref="S26:T26"/>
    <mergeCell ref="S27:T27"/>
    <mergeCell ref="U26:Y26"/>
    <mergeCell ref="U27:Y27"/>
    <mergeCell ref="B2:Y3"/>
    <mergeCell ref="D4:H5"/>
    <mergeCell ref="I4:N5"/>
    <mergeCell ref="O4:S5"/>
    <mergeCell ref="T4:Y5"/>
    <mergeCell ref="I6:N7"/>
    <mergeCell ref="I19:N20"/>
    <mergeCell ref="I21:N22"/>
    <mergeCell ref="O19:S20"/>
    <mergeCell ref="O21:S22"/>
    <mergeCell ref="O8:S9"/>
    <mergeCell ref="O6:S7"/>
    <mergeCell ref="D8:H9"/>
    <mergeCell ref="D10:H11"/>
    <mergeCell ref="B4:C18"/>
    <mergeCell ref="D18:T18"/>
    <mergeCell ref="U18:Y18"/>
    <mergeCell ref="J8:N8"/>
    <mergeCell ref="J9:N9"/>
    <mergeCell ref="L10:Y11"/>
    <mergeCell ref="I10:K11"/>
    <mergeCell ref="D12:H14"/>
    <mergeCell ref="K12:N12"/>
    <mergeCell ref="I12:J12"/>
    <mergeCell ref="I13:J14"/>
    <mergeCell ref="K13:N14"/>
    <mergeCell ref="O12:R12"/>
    <mergeCell ref="S12:Y12"/>
    <mergeCell ref="D15:H17"/>
    <mergeCell ref="I15:J15"/>
    <mergeCell ref="K15:N15"/>
    <mergeCell ref="O15:R15"/>
    <mergeCell ref="S15:Y15"/>
    <mergeCell ref="I16:J17"/>
    <mergeCell ref="K16:N17"/>
    <mergeCell ref="O16:R17"/>
    <mergeCell ref="S16:T16"/>
    <mergeCell ref="U16:Y16"/>
    <mergeCell ref="S17:T17"/>
    <mergeCell ref="U17:Y17"/>
    <mergeCell ref="B96:Y97"/>
    <mergeCell ref="B56:Y61"/>
    <mergeCell ref="J80:L82"/>
    <mergeCell ref="M80:N82"/>
    <mergeCell ref="O80:P82"/>
    <mergeCell ref="M66:V68"/>
    <mergeCell ref="E66:L68"/>
    <mergeCell ref="B19:C27"/>
    <mergeCell ref="B29:Y29"/>
    <mergeCell ref="D23:H23"/>
    <mergeCell ref="I23:K23"/>
    <mergeCell ref="L23:Y23"/>
    <mergeCell ref="B143:C143"/>
    <mergeCell ref="B188:C188"/>
    <mergeCell ref="D143:K143"/>
    <mergeCell ref="D188:K188"/>
    <mergeCell ref="B43:Y43"/>
    <mergeCell ref="B41:Y42"/>
    <mergeCell ref="T33:U33"/>
    <mergeCell ref="C124:F124"/>
    <mergeCell ref="G124:K124"/>
    <mergeCell ref="C122:F122"/>
    <mergeCell ref="G122:K122"/>
    <mergeCell ref="L122:P122"/>
    <mergeCell ref="Q122:U122"/>
    <mergeCell ref="V122:X122"/>
    <mergeCell ref="C123:F123"/>
    <mergeCell ref="G123:K123"/>
    <mergeCell ref="L123:P123"/>
    <mergeCell ref="Q123:U123"/>
    <mergeCell ref="Q120:U120"/>
    <mergeCell ref="V120:X120"/>
    <mergeCell ref="C121:F121"/>
    <mergeCell ref="G121:K121"/>
    <mergeCell ref="L121:P121"/>
    <mergeCell ref="Q121:U121"/>
    <mergeCell ref="V121:X121"/>
    <mergeCell ref="C118:F118"/>
    <mergeCell ref="G118:K118"/>
    <mergeCell ref="L118:P118"/>
    <mergeCell ref="Q118:U118"/>
    <mergeCell ref="V118:X118"/>
    <mergeCell ref="C119:F119"/>
    <mergeCell ref="G119:K119"/>
    <mergeCell ref="N430:O430"/>
    <mergeCell ref="N433:O433"/>
    <mergeCell ref="N431:O431"/>
    <mergeCell ref="B234:C234"/>
    <mergeCell ref="D234:K234"/>
    <mergeCell ref="B325:C325"/>
    <mergeCell ref="D325:K325"/>
    <mergeCell ref="B30:Y30"/>
    <mergeCell ref="B425:C425"/>
    <mergeCell ref="D425:K425"/>
    <mergeCell ref="B427:C428"/>
    <mergeCell ref="D427:D428"/>
    <mergeCell ref="E429:F429"/>
    <mergeCell ref="G429:M429"/>
    <mergeCell ref="N429:O429"/>
    <mergeCell ref="Q429:R429"/>
    <mergeCell ref="S429:T429"/>
    <mergeCell ref="U429:X429"/>
    <mergeCell ref="E427:O428"/>
    <mergeCell ref="P427:P428"/>
    <mergeCell ref="Q427:T427"/>
    <mergeCell ref="Q428:R428"/>
    <mergeCell ref="S428:T428"/>
    <mergeCell ref="U427:X428"/>
    <mergeCell ref="C229:E229"/>
    <mergeCell ref="C230:E230"/>
    <mergeCell ref="C231:E231"/>
    <mergeCell ref="C232:E232"/>
    <mergeCell ref="C217:E217"/>
    <mergeCell ref="C218:E218"/>
    <mergeCell ref="C219:E219"/>
    <mergeCell ref="C220:E220"/>
    <mergeCell ref="N434:O436"/>
    <mergeCell ref="P434:P436"/>
    <mergeCell ref="Q434:R436"/>
    <mergeCell ref="S434:T436"/>
    <mergeCell ref="G437:M437"/>
    <mergeCell ref="N437:O437"/>
    <mergeCell ref="Q437:R437"/>
    <mergeCell ref="S437:T437"/>
    <mergeCell ref="U437:X437"/>
    <mergeCell ref="E430:F430"/>
    <mergeCell ref="E431:F431"/>
    <mergeCell ref="E432:F432"/>
    <mergeCell ref="E433:F433"/>
    <mergeCell ref="E437:F437"/>
    <mergeCell ref="E438:F438"/>
    <mergeCell ref="G438:M438"/>
    <mergeCell ref="N438:O438"/>
    <mergeCell ref="Q438:R438"/>
    <mergeCell ref="S438:T438"/>
    <mergeCell ref="U438:X438"/>
    <mergeCell ref="Q430:R430"/>
    <mergeCell ref="Q431:R431"/>
    <mergeCell ref="Q432:R432"/>
    <mergeCell ref="Q433:R433"/>
    <mergeCell ref="S430:T430"/>
    <mergeCell ref="S431:T431"/>
    <mergeCell ref="S432:T432"/>
    <mergeCell ref="S433:T433"/>
    <mergeCell ref="U430:X430"/>
    <mergeCell ref="U431:X431"/>
    <mergeCell ref="U432:X432"/>
    <mergeCell ref="U433:X433"/>
    <mergeCell ref="B429:C436"/>
    <mergeCell ref="D439:D440"/>
    <mergeCell ref="E439:F440"/>
    <mergeCell ref="G439:M440"/>
    <mergeCell ref="N439:O440"/>
    <mergeCell ref="P439:P440"/>
    <mergeCell ref="Q439:R440"/>
    <mergeCell ref="S439:T440"/>
    <mergeCell ref="U439:X440"/>
    <mergeCell ref="E441:F441"/>
    <mergeCell ref="G441:M441"/>
    <mergeCell ref="N441:O441"/>
    <mergeCell ref="Q441:R441"/>
    <mergeCell ref="S441:T441"/>
    <mergeCell ref="U441:X441"/>
    <mergeCell ref="D442:D443"/>
    <mergeCell ref="E442:F443"/>
    <mergeCell ref="G442:M443"/>
    <mergeCell ref="N442:O443"/>
    <mergeCell ref="P442:P443"/>
    <mergeCell ref="Q442:R443"/>
    <mergeCell ref="S442:T443"/>
    <mergeCell ref="U442:X443"/>
    <mergeCell ref="N432:O432"/>
    <mergeCell ref="G430:M430"/>
    <mergeCell ref="G431:M431"/>
    <mergeCell ref="G432:M432"/>
    <mergeCell ref="G433:M433"/>
    <mergeCell ref="U434:X436"/>
    <mergeCell ref="D434:D436"/>
    <mergeCell ref="E434:F436"/>
    <mergeCell ref="G434:M436"/>
    <mergeCell ref="D444:D445"/>
    <mergeCell ref="E444:F445"/>
    <mergeCell ref="G444:M445"/>
    <mergeCell ref="N444:O445"/>
    <mergeCell ref="P444:P445"/>
    <mergeCell ref="Q444:R445"/>
    <mergeCell ref="S444:T445"/>
    <mergeCell ref="U444:X445"/>
    <mergeCell ref="D446:D447"/>
    <mergeCell ref="E446:F447"/>
    <mergeCell ref="G446:M447"/>
    <mergeCell ref="N446:O447"/>
    <mergeCell ref="P446:P447"/>
    <mergeCell ref="Q446:R447"/>
    <mergeCell ref="S446:T447"/>
    <mergeCell ref="U446:X447"/>
    <mergeCell ref="D448:D449"/>
    <mergeCell ref="E448:F449"/>
    <mergeCell ref="G448:M449"/>
    <mergeCell ref="N448:O449"/>
    <mergeCell ref="P448:P449"/>
    <mergeCell ref="Q448:R449"/>
    <mergeCell ref="S448:T449"/>
    <mergeCell ref="U448:X449"/>
    <mergeCell ref="S450:T451"/>
    <mergeCell ref="U450:X451"/>
    <mergeCell ref="E452:F452"/>
    <mergeCell ref="G452:M452"/>
    <mergeCell ref="N452:O452"/>
    <mergeCell ref="Q452:R452"/>
    <mergeCell ref="S452:T452"/>
    <mergeCell ref="U452:X452"/>
    <mergeCell ref="U453:X464"/>
    <mergeCell ref="D453:D464"/>
    <mergeCell ref="E453:F464"/>
    <mergeCell ref="N453:O464"/>
    <mergeCell ref="Q453:R464"/>
    <mergeCell ref="S453:T464"/>
    <mergeCell ref="P453:P464"/>
    <mergeCell ref="G453:M464"/>
    <mergeCell ref="U465:X468"/>
    <mergeCell ref="N513:X514"/>
    <mergeCell ref="E511:I511"/>
    <mergeCell ref="Q511:S511"/>
    <mergeCell ref="B473:X473"/>
    <mergeCell ref="C475:Y478"/>
    <mergeCell ref="C480:Y501"/>
    <mergeCell ref="C503:F504"/>
    <mergeCell ref="C505:F506"/>
    <mergeCell ref="G503:Y503"/>
    <mergeCell ref="G505:Y505"/>
    <mergeCell ref="U469:X471"/>
    <mergeCell ref="D465:D468"/>
    <mergeCell ref="P465:P468"/>
    <mergeCell ref="E465:F468"/>
    <mergeCell ref="G465:M468"/>
    <mergeCell ref="N465:O468"/>
    <mergeCell ref="Q465:R468"/>
    <mergeCell ref="S465:T468"/>
    <mergeCell ref="D469:D471"/>
    <mergeCell ref="E469:F471"/>
    <mergeCell ref="G469:M471"/>
    <mergeCell ref="N469:O471"/>
    <mergeCell ref="Q469:R471"/>
    <mergeCell ref="S469:T471"/>
    <mergeCell ref="P469:P471"/>
    <mergeCell ref="B437:C471"/>
    <mergeCell ref="D450:D451"/>
    <mergeCell ref="E450:F451"/>
    <mergeCell ref="G450:M451"/>
    <mergeCell ref="N450:O451"/>
    <mergeCell ref="P450:P451"/>
    <mergeCell ref="Q450:R451"/>
  </mergeCells>
  <phoneticPr fontId="1" type="noConversion"/>
  <conditionalFormatting sqref="C245:D302">
    <cfRule type="expression" dxfId="19" priority="235">
      <formula>$C245=$C243</formula>
    </cfRule>
  </conditionalFormatting>
  <conditionalFormatting sqref="C194:E233">
    <cfRule type="expression" dxfId="18" priority="7">
      <formula>$B194=$B193</formula>
    </cfRule>
  </conditionalFormatting>
  <conditionalFormatting sqref="C338:E420">
    <cfRule type="expression" dxfId="17" priority="15">
      <formula>$C338=$C337</formula>
    </cfRule>
  </conditionalFormatting>
  <conditionalFormatting sqref="C337:H420">
    <cfRule type="expression" dxfId="16" priority="9">
      <formula>$I337="합계"</formula>
    </cfRule>
  </conditionalFormatting>
  <conditionalFormatting sqref="C117:X125">
    <cfRule type="expression" dxfId="15" priority="226">
      <formula>$C117=""</formula>
    </cfRule>
  </conditionalFormatting>
  <conditionalFormatting sqref="C243:Y302">
    <cfRule type="expression" dxfId="14" priority="234">
      <formula>OR($E243="합계",$E243="합계(소음)",$E243="합계(악취)")</formula>
    </cfRule>
  </conditionalFormatting>
  <conditionalFormatting sqref="C337:Y420">
    <cfRule type="expression" dxfId="13" priority="16">
      <formula>OR($I337="계",$I337="소계",$I337="합계")</formula>
    </cfRule>
  </conditionalFormatting>
  <conditionalFormatting sqref="F337:H420">
    <cfRule type="expression" dxfId="12" priority="13">
      <formula>$I337="소계"</formula>
    </cfRule>
  </conditionalFormatting>
  <conditionalFormatting sqref="F338:H420">
    <cfRule type="expression" dxfId="11" priority="14">
      <formula>$F338=$F337</formula>
    </cfRule>
  </conditionalFormatting>
  <conditionalFormatting sqref="I337:M420">
    <cfRule type="expression" dxfId="10" priority="10">
      <formula>$I337="합계"</formula>
    </cfRule>
  </conditionalFormatting>
  <conditionalFormatting sqref="N337:V420">
    <cfRule type="expression" dxfId="9" priority="12">
      <formula>OR($I337="계",$I337="소계",$I337="합계")</formula>
    </cfRule>
  </conditionalFormatting>
  <conditionalFormatting sqref="Z193:Z194">
    <cfRule type="expression" dxfId="8" priority="902">
      <formula>#REF!="온실가스 저감"</formula>
    </cfRule>
  </conditionalFormatting>
  <printOptions horizontalCentered="1"/>
  <pageMargins left="0.23622047244094491" right="0.23622047244094491" top="0.74803149606299213" bottom="0.74803149606299213" header="0.31496062992125984" footer="0.31496062992125984"/>
  <pageSetup paperSize="9" scale="97" orientation="portrait" r:id="rId1"/>
  <rowBreaks count="3" manualBreakCount="3">
    <brk id="95" max="24" man="1"/>
    <brk id="142" max="24" man="1"/>
    <brk id="187" max="24" man="1"/>
  </rowBreaks>
  <drawing r:id="rId2"/>
  <extLst>
    <ext xmlns:x14="http://schemas.microsoft.com/office/spreadsheetml/2009/9/main" uri="{78C0D931-6437-407d-A8EE-F0AAD7539E65}">
      <x14:conditionalFormattings>
        <x14:conditionalFormatting xmlns:xm="http://schemas.microsoft.com/office/excel/2006/main">
          <x14:cfRule type="expression" priority="1" id="{DBF79E3C-5BB3-4BBE-AD75-B953972ABA11}">
            <xm:f>$A193=기업명!$CT$189</xm:f>
            <x14:dxf>
              <border>
                <bottom style="thin">
                  <color auto="1"/>
                </bottom>
                <vertical/>
                <horizontal/>
              </border>
            </x14:dxf>
          </x14:cfRule>
          <xm:sqref>C193:E233</xm:sqref>
        </x14:conditionalFormatting>
        <x14:conditionalFormatting xmlns:xm="http://schemas.microsoft.com/office/excel/2006/main">
          <x14:cfRule type="expression" priority="225" id="{3559D228-7ED9-4712-8827-AF776249AA7F}">
            <xm:f>$B117=기업명!$CY$178</xm:f>
            <x14:dxf>
              <border>
                <left style="thin">
                  <color auto="1"/>
                </left>
                <right style="thin">
                  <color auto="1"/>
                </right>
                <top style="thin">
                  <color auto="1"/>
                </top>
                <bottom style="thin">
                  <color auto="1"/>
                </bottom>
                <vertical/>
                <horizontal/>
              </border>
            </x14:dxf>
          </x14:cfRule>
          <xm:sqref>C117:X125</xm:sqref>
        </x14:conditionalFormatting>
        <x14:conditionalFormatting xmlns:xm="http://schemas.microsoft.com/office/excel/2006/main">
          <x14:cfRule type="expression" priority="6" id="{BAC86E64-D42D-419A-8199-F6CF5C877E88}">
            <xm:f>$B193&gt;기업명!$CT$189</xm:f>
            <x14:dxf>
              <font>
                <color theme="0"/>
              </font>
              <border>
                <left/>
                <right/>
                <top/>
                <bottom/>
                <vertical/>
                <horizontal/>
              </border>
            </x14:dxf>
          </x14:cfRule>
          <xm:sqref>C193:Y233</xm:sqref>
        </x14:conditionalFormatting>
        <x14:conditionalFormatting xmlns:xm="http://schemas.microsoft.com/office/excel/2006/main">
          <x14:cfRule type="expression" priority="237" id="{8C6848E4-F425-48F4-8A55-2A5336613AA9}">
            <xm:f>$B243=기업명!$BF$271</xm:f>
            <x14:dxf>
              <border>
                <left style="thin">
                  <color auto="1"/>
                </left>
                <right style="thin">
                  <color auto="1"/>
                </right>
                <top style="thin">
                  <color auto="1"/>
                </top>
                <bottom style="thin">
                  <color auto="1"/>
                </bottom>
                <vertical/>
                <horizontal/>
              </border>
            </x14:dxf>
          </x14:cfRule>
          <x14:cfRule type="expression" priority="238" id="{D21A1F1D-30B4-49DD-BD29-9E39617818F2}">
            <xm:f>$B243&gt;기업명!$BF$271</xm:f>
            <x14:dxf>
              <border>
                <left/>
                <right/>
                <top/>
                <bottom/>
                <vertical/>
                <horizontal/>
              </border>
            </x14:dxf>
          </x14:cfRule>
          <xm:sqref>C243:Y302</xm:sqref>
        </x14:conditionalFormatting>
        <x14:conditionalFormatting xmlns:xm="http://schemas.microsoft.com/office/excel/2006/main">
          <x14:cfRule type="expression" priority="18" id="{80805624-BB36-4FEB-9743-002B30532B1D}">
            <xm:f>$B337=기업명!$AG$362:$AH$362</xm:f>
            <x14:dxf>
              <border>
                <left style="thin">
                  <color auto="1"/>
                </left>
                <right style="thin">
                  <color auto="1"/>
                </right>
                <top style="thin">
                  <color auto="1"/>
                </top>
                <bottom style="thin">
                  <color auto="1"/>
                </bottom>
                <vertical/>
                <horizontal/>
              </border>
            </x14:dxf>
          </x14:cfRule>
          <x14:cfRule type="expression" priority="19" id="{87158E19-6A55-4514-83A9-4108F980E5E1}">
            <xm:f>$B337&gt;기업명!$AG$362:$AH$362</xm:f>
            <x14:dxf>
              <border>
                <left/>
                <right/>
                <top/>
                <bottom/>
                <vertical/>
                <horizontal/>
              </border>
            </x14:dxf>
          </x14:cfRule>
          <xm:sqref>C337:Y420</xm:sqref>
        </x14:conditionalFormatting>
        <x14:conditionalFormatting xmlns:xm="http://schemas.microsoft.com/office/excel/2006/main">
          <x14:cfRule type="expression" priority="2" id="{6DCB648F-CF01-4CEF-98DA-1E39B3D279D3}">
            <xm:f>$B193=기업명!$CT$189</xm:f>
            <x14:dxf>
              <border>
                <left style="thin">
                  <color auto="1"/>
                </left>
                <right style="thin">
                  <color auto="1"/>
                </right>
                <top style="thin">
                  <color auto="1"/>
                </top>
                <bottom style="thin">
                  <color auto="1"/>
                </bottom>
                <vertical/>
                <horizontal/>
              </border>
            </x14:dxf>
          </x14:cfRule>
          <xm:sqref>F193:Y233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workbookViewId="0"/>
  </sheetViews>
  <sheetFormatPr defaultRowHeight="16.5"/>
  <cols>
    <col min="2" max="2" width="11.875" customWidth="1"/>
    <col min="3" max="3" width="81.625" customWidth="1"/>
    <col min="4" max="4" width="54.5" customWidth="1"/>
  </cols>
  <sheetData>
    <row r="2" spans="2:4" ht="21.75">
      <c r="B2" s="1061" t="s">
        <v>572</v>
      </c>
      <c r="C2" s="1061"/>
      <c r="D2" s="1061"/>
    </row>
    <row r="3" spans="2:4" ht="9.75" customHeight="1"/>
    <row r="4" spans="2:4" ht="20.100000000000001" customHeight="1">
      <c r="B4" s="106" t="s">
        <v>513</v>
      </c>
      <c r="C4" s="106" t="s">
        <v>514</v>
      </c>
      <c r="D4" s="106" t="s">
        <v>515</v>
      </c>
    </row>
    <row r="5" spans="2:4" ht="20.100000000000001" customHeight="1">
      <c r="B5" s="1056" t="s">
        <v>516</v>
      </c>
      <c r="C5" s="1059" t="s">
        <v>517</v>
      </c>
      <c r="D5" s="103" t="s">
        <v>518</v>
      </c>
    </row>
    <row r="6" spans="2:4" ht="20.100000000000001" customHeight="1">
      <c r="B6" s="1057"/>
      <c r="C6" s="1060"/>
      <c r="D6" s="104" t="s">
        <v>519</v>
      </c>
    </row>
    <row r="7" spans="2:4" ht="20.100000000000001" customHeight="1">
      <c r="B7" s="1057"/>
      <c r="C7" s="101" t="s">
        <v>520</v>
      </c>
      <c r="D7" s="102" t="s">
        <v>521</v>
      </c>
    </row>
    <row r="8" spans="2:4" ht="20.100000000000001" customHeight="1">
      <c r="B8" s="1057"/>
      <c r="C8" s="101" t="s">
        <v>522</v>
      </c>
      <c r="D8" s="102" t="s">
        <v>523</v>
      </c>
    </row>
    <row r="9" spans="2:4" ht="20.100000000000001" customHeight="1">
      <c r="B9" s="1057"/>
      <c r="C9" s="101" t="s">
        <v>524</v>
      </c>
      <c r="D9" s="102" t="s">
        <v>525</v>
      </c>
    </row>
    <row r="10" spans="2:4" ht="20.100000000000001" customHeight="1">
      <c r="B10" s="1057"/>
      <c r="C10" s="101" t="s">
        <v>526</v>
      </c>
      <c r="D10" s="102" t="s">
        <v>527</v>
      </c>
    </row>
    <row r="11" spans="2:4" ht="20.100000000000001" customHeight="1">
      <c r="B11" s="1057"/>
      <c r="C11" s="101" t="s">
        <v>528</v>
      </c>
      <c r="D11" s="102" t="s">
        <v>529</v>
      </c>
    </row>
    <row r="12" spans="2:4" ht="20.100000000000001" customHeight="1">
      <c r="B12" s="1057"/>
      <c r="C12" s="101" t="s">
        <v>530</v>
      </c>
      <c r="D12" s="102" t="s">
        <v>531</v>
      </c>
    </row>
    <row r="13" spans="2:4" ht="20.100000000000001" customHeight="1">
      <c r="B13" s="1057"/>
      <c r="C13" s="101" t="s">
        <v>532</v>
      </c>
      <c r="D13" s="102" t="s">
        <v>533</v>
      </c>
    </row>
    <row r="14" spans="2:4" ht="20.100000000000001" customHeight="1">
      <c r="B14" s="1057"/>
      <c r="C14" s="101" t="s">
        <v>534</v>
      </c>
      <c r="D14" s="102" t="s">
        <v>535</v>
      </c>
    </row>
    <row r="15" spans="2:4" ht="20.100000000000001" customHeight="1">
      <c r="B15" s="1057"/>
      <c r="C15" s="101" t="s">
        <v>536</v>
      </c>
      <c r="D15" s="102" t="s">
        <v>537</v>
      </c>
    </row>
    <row r="16" spans="2:4" ht="20.100000000000001" customHeight="1">
      <c r="B16" s="1057"/>
      <c r="C16" s="101" t="s">
        <v>538</v>
      </c>
      <c r="D16" s="102" t="s">
        <v>539</v>
      </c>
    </row>
    <row r="17" spans="2:4" ht="20.100000000000001" customHeight="1">
      <c r="B17" s="1058"/>
      <c r="C17" s="101" t="s">
        <v>540</v>
      </c>
      <c r="D17" s="102" t="s">
        <v>523</v>
      </c>
    </row>
    <row r="18" spans="2:4" ht="20.100000000000001" customHeight="1">
      <c r="B18" s="1056" t="s">
        <v>541</v>
      </c>
      <c r="C18" s="101" t="s">
        <v>542</v>
      </c>
      <c r="D18" s="102" t="s">
        <v>543</v>
      </c>
    </row>
    <row r="19" spans="2:4" ht="20.100000000000001" customHeight="1">
      <c r="B19" s="1057"/>
      <c r="C19" s="101" t="s">
        <v>544</v>
      </c>
      <c r="D19" s="102" t="s">
        <v>545</v>
      </c>
    </row>
    <row r="20" spans="2:4" ht="20.100000000000001" customHeight="1">
      <c r="B20" s="1057"/>
      <c r="C20" s="101" t="s">
        <v>546</v>
      </c>
      <c r="D20" s="102" t="s">
        <v>547</v>
      </c>
    </row>
    <row r="21" spans="2:4" ht="20.100000000000001" customHeight="1">
      <c r="B21" s="1058"/>
      <c r="C21" s="101" t="s">
        <v>548</v>
      </c>
      <c r="D21" s="102" t="s">
        <v>549</v>
      </c>
    </row>
    <row r="22" spans="2:4" ht="20.100000000000001" customHeight="1">
      <c r="B22" s="1056" t="s">
        <v>550</v>
      </c>
      <c r="C22" s="101" t="s">
        <v>551</v>
      </c>
      <c r="D22" s="102" t="s">
        <v>552</v>
      </c>
    </row>
    <row r="23" spans="2:4" ht="20.100000000000001" customHeight="1">
      <c r="B23" s="1057"/>
      <c r="C23" s="101" t="s">
        <v>553</v>
      </c>
      <c r="D23" s="102" t="s">
        <v>554</v>
      </c>
    </row>
    <row r="24" spans="2:4" ht="20.100000000000001" customHeight="1">
      <c r="B24" s="1057"/>
      <c r="C24" s="1059" t="s">
        <v>555</v>
      </c>
      <c r="D24" s="99" t="s">
        <v>556</v>
      </c>
    </row>
    <row r="25" spans="2:4" ht="20.100000000000001" customHeight="1">
      <c r="B25" s="1058"/>
      <c r="C25" s="1060"/>
      <c r="D25" s="100" t="s">
        <v>557</v>
      </c>
    </row>
    <row r="26" spans="2:4" ht="20.100000000000001" customHeight="1">
      <c r="B26" s="1056" t="s">
        <v>558</v>
      </c>
      <c r="C26" s="101" t="s">
        <v>559</v>
      </c>
      <c r="D26" s="102" t="s">
        <v>560</v>
      </c>
    </row>
    <row r="27" spans="2:4" ht="20.100000000000001" customHeight="1">
      <c r="B27" s="1058"/>
      <c r="C27" s="101" t="s">
        <v>561</v>
      </c>
      <c r="D27" s="102" t="s">
        <v>562</v>
      </c>
    </row>
    <row r="28" spans="2:4" ht="20.100000000000001" customHeight="1">
      <c r="B28" s="1056" t="s">
        <v>563</v>
      </c>
      <c r="C28" s="1059" t="s">
        <v>564</v>
      </c>
      <c r="D28" s="103" t="s">
        <v>565</v>
      </c>
    </row>
    <row r="29" spans="2:4" ht="20.100000000000001" customHeight="1">
      <c r="B29" s="1057"/>
      <c r="C29" s="1060"/>
      <c r="D29" s="104" t="s">
        <v>566</v>
      </c>
    </row>
    <row r="30" spans="2:4" ht="20.100000000000001" customHeight="1">
      <c r="B30" s="1058"/>
      <c r="C30" s="101" t="s">
        <v>567</v>
      </c>
      <c r="D30" s="102" t="s">
        <v>568</v>
      </c>
    </row>
    <row r="31" spans="2:4" ht="42" customHeight="1">
      <c r="B31" s="105" t="s">
        <v>569</v>
      </c>
      <c r="C31" s="101" t="s">
        <v>570</v>
      </c>
      <c r="D31" s="102" t="s">
        <v>571</v>
      </c>
    </row>
    <row r="32" spans="2:4">
      <c r="B32" t="s">
        <v>573</v>
      </c>
    </row>
  </sheetData>
  <sheetProtection algorithmName="SHA-512" hashValue="amluGrg878Pp6NcG5BLjhZ6Cr8U4rZXMRAPh0yp56MR8GcqF1xFq2FH5LcxuZijy1sCHDdNg5nNRuIMmq0NTVg==" saltValue="iOhXBR22bRgI7+twr0PfpA==" spinCount="100000" sheet="1" objects="1" scenarios="1"/>
  <mergeCells count="9">
    <mergeCell ref="B28:B30"/>
    <mergeCell ref="C28:C29"/>
    <mergeCell ref="B2:D2"/>
    <mergeCell ref="B5:B17"/>
    <mergeCell ref="C5:C6"/>
    <mergeCell ref="B18:B21"/>
    <mergeCell ref="B22:B25"/>
    <mergeCell ref="C24:C25"/>
    <mergeCell ref="B26:B27"/>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
  <sheetViews>
    <sheetView workbookViewId="0">
      <selection activeCell="L23" sqref="L23"/>
    </sheetView>
  </sheetViews>
  <sheetFormatPr defaultRowHeight="16.5"/>
  <cols>
    <col min="2" max="2" width="1.625" customWidth="1"/>
    <col min="3" max="3" width="16.125" style="1" customWidth="1"/>
    <col min="4" max="4" width="1.625" customWidth="1"/>
    <col min="5" max="5" width="12.375" customWidth="1"/>
    <col min="6" max="6" width="1.625" customWidth="1"/>
    <col min="7" max="13" width="11" bestFit="1" customWidth="1"/>
    <col min="14" max="14" width="15.125" bestFit="1" customWidth="1"/>
    <col min="22" max="23" width="15.125" bestFit="1" customWidth="1"/>
  </cols>
  <sheetData>
    <row r="2" spans="1:23" s="16" customFormat="1">
      <c r="A2" s="107" t="s">
        <v>576</v>
      </c>
      <c r="C2" s="83" t="s">
        <v>182</v>
      </c>
      <c r="E2" s="84" t="s">
        <v>216</v>
      </c>
      <c r="G2" s="1062" t="s">
        <v>480</v>
      </c>
      <c r="H2" s="1062"/>
      <c r="I2" s="1062"/>
      <c r="J2" s="1062"/>
      <c r="K2" s="1062"/>
      <c r="L2" s="1062"/>
      <c r="M2" s="1062"/>
      <c r="N2" s="1062"/>
      <c r="O2" s="1062"/>
      <c r="P2" s="1062"/>
      <c r="Q2" s="1062"/>
      <c r="R2" s="1062"/>
      <c r="S2" s="1062"/>
      <c r="T2" s="1062"/>
      <c r="U2" s="1062"/>
      <c r="V2" s="1062"/>
      <c r="W2" s="1062"/>
    </row>
    <row r="3" spans="1:23">
      <c r="A3" s="2" t="s">
        <v>577</v>
      </c>
      <c r="C3" s="2" t="s">
        <v>183</v>
      </c>
      <c r="E3" s="2" t="s">
        <v>217</v>
      </c>
      <c r="G3" s="85" t="s">
        <v>273</v>
      </c>
      <c r="H3" s="85" t="s">
        <v>256</v>
      </c>
      <c r="I3" s="85" t="s">
        <v>257</v>
      </c>
      <c r="J3" s="85" t="s">
        <v>258</v>
      </c>
      <c r="K3" s="85" t="s">
        <v>259</v>
      </c>
      <c r="L3" s="85" t="s">
        <v>260</v>
      </c>
      <c r="M3" s="85" t="s">
        <v>261</v>
      </c>
      <c r="N3" s="85" t="s">
        <v>262</v>
      </c>
      <c r="O3" s="85" t="s">
        <v>263</v>
      </c>
      <c r="P3" s="85" t="s">
        <v>264</v>
      </c>
      <c r="Q3" s="85" t="s">
        <v>265</v>
      </c>
      <c r="R3" s="85" t="s">
        <v>266</v>
      </c>
      <c r="S3" s="85" t="s">
        <v>267</v>
      </c>
      <c r="T3" s="85" t="s">
        <v>268</v>
      </c>
      <c r="U3" s="85" t="s">
        <v>269</v>
      </c>
      <c r="V3" s="85" t="s">
        <v>270</v>
      </c>
      <c r="W3" s="85" t="s">
        <v>271</v>
      </c>
    </row>
    <row r="4" spans="1:23">
      <c r="A4" s="2" t="s">
        <v>578</v>
      </c>
      <c r="C4" s="2" t="s">
        <v>184</v>
      </c>
      <c r="E4" s="2" t="s">
        <v>218</v>
      </c>
      <c r="G4" s="2" t="s">
        <v>274</v>
      </c>
      <c r="H4" s="2" t="s">
        <v>275</v>
      </c>
      <c r="I4" s="2" t="s">
        <v>275</v>
      </c>
      <c r="J4" s="2" t="s">
        <v>275</v>
      </c>
      <c r="K4" s="2" t="s">
        <v>387</v>
      </c>
      <c r="L4" s="2" t="s">
        <v>387</v>
      </c>
      <c r="M4" s="2" t="s">
        <v>275</v>
      </c>
      <c r="N4" s="2" t="s">
        <v>481</v>
      </c>
      <c r="O4" s="2" t="s">
        <v>317</v>
      </c>
      <c r="P4" s="2" t="s">
        <v>469</v>
      </c>
      <c r="Q4" s="2" t="s">
        <v>454</v>
      </c>
      <c r="R4" s="2" t="s">
        <v>438</v>
      </c>
      <c r="S4" s="2" t="s">
        <v>416</v>
      </c>
      <c r="T4" s="2" t="s">
        <v>365</v>
      </c>
      <c r="U4" s="2" t="s">
        <v>348</v>
      </c>
      <c r="V4" s="2" t="s">
        <v>452</v>
      </c>
      <c r="W4" s="2" t="s">
        <v>299</v>
      </c>
    </row>
    <row r="5" spans="1:23">
      <c r="C5" s="2" t="s">
        <v>185</v>
      </c>
      <c r="E5" s="2" t="s">
        <v>219</v>
      </c>
      <c r="G5" s="2" t="s">
        <v>275</v>
      </c>
      <c r="H5" s="2" t="s">
        <v>388</v>
      </c>
      <c r="I5" s="2" t="s">
        <v>387</v>
      </c>
      <c r="J5" s="2" t="s">
        <v>387</v>
      </c>
      <c r="K5" s="2" t="s">
        <v>388</v>
      </c>
      <c r="L5" s="2" t="s">
        <v>275</v>
      </c>
      <c r="M5" s="2" t="s">
        <v>389</v>
      </c>
      <c r="N5" s="2"/>
      <c r="O5" s="2" t="s">
        <v>318</v>
      </c>
      <c r="P5" s="2" t="s">
        <v>470</v>
      </c>
      <c r="Q5" s="2" t="s">
        <v>455</v>
      </c>
      <c r="R5" s="2" t="s">
        <v>439</v>
      </c>
      <c r="S5" s="2" t="s">
        <v>417</v>
      </c>
      <c r="T5" s="2" t="s">
        <v>366</v>
      </c>
      <c r="U5" s="2" t="s">
        <v>349</v>
      </c>
      <c r="V5" s="2" t="s">
        <v>453</v>
      </c>
      <c r="W5" s="2" t="s">
        <v>300</v>
      </c>
    </row>
    <row r="6" spans="1:23">
      <c r="A6" s="132" t="s">
        <v>657</v>
      </c>
      <c r="C6" s="2" t="s">
        <v>186</v>
      </c>
      <c r="G6" s="2" t="s">
        <v>276</v>
      </c>
      <c r="H6" s="2" t="s">
        <v>387</v>
      </c>
      <c r="I6" s="2" t="s">
        <v>388</v>
      </c>
      <c r="J6" s="2" t="s">
        <v>409</v>
      </c>
      <c r="K6" s="2" t="s">
        <v>389</v>
      </c>
      <c r="L6" s="2" t="s">
        <v>388</v>
      </c>
      <c r="M6" s="2" t="s">
        <v>387</v>
      </c>
      <c r="N6" s="2"/>
      <c r="O6" s="2" t="s">
        <v>319</v>
      </c>
      <c r="P6" s="2" t="s">
        <v>471</v>
      </c>
      <c r="Q6" s="2" t="s">
        <v>456</v>
      </c>
      <c r="R6" s="2" t="s">
        <v>440</v>
      </c>
      <c r="S6" s="2" t="s">
        <v>418</v>
      </c>
      <c r="T6" s="2" t="s">
        <v>367</v>
      </c>
      <c r="U6" s="2" t="s">
        <v>350</v>
      </c>
      <c r="V6" s="2"/>
      <c r="W6" s="2" t="s">
        <v>301</v>
      </c>
    </row>
    <row r="7" spans="1:23">
      <c r="A7" s="133" t="s">
        <v>658</v>
      </c>
      <c r="C7" s="2" t="s">
        <v>240</v>
      </c>
      <c r="G7" s="2" t="s">
        <v>277</v>
      </c>
      <c r="H7" s="2" t="s">
        <v>398</v>
      </c>
      <c r="I7" s="2" t="s">
        <v>389</v>
      </c>
      <c r="J7" s="2" t="s">
        <v>410</v>
      </c>
      <c r="K7" s="2" t="s">
        <v>390</v>
      </c>
      <c r="L7" s="2" t="s">
        <v>396</v>
      </c>
      <c r="M7" s="2" t="s">
        <v>390</v>
      </c>
      <c r="N7" s="2"/>
      <c r="O7" s="2" t="s">
        <v>320</v>
      </c>
      <c r="P7" s="2" t="s">
        <v>472</v>
      </c>
      <c r="Q7" s="2" t="s">
        <v>457</v>
      </c>
      <c r="R7" s="2" t="s">
        <v>441</v>
      </c>
      <c r="S7" s="2" t="s">
        <v>419</v>
      </c>
      <c r="T7" s="2" t="s">
        <v>368</v>
      </c>
      <c r="U7" s="2" t="s">
        <v>351</v>
      </c>
      <c r="V7" s="2"/>
      <c r="W7" s="2" t="s">
        <v>302</v>
      </c>
    </row>
    <row r="8" spans="1:23">
      <c r="A8" s="2"/>
      <c r="C8" s="2" t="s">
        <v>201</v>
      </c>
      <c r="G8" s="2" t="s">
        <v>278</v>
      </c>
      <c r="H8" s="2" t="s">
        <v>399</v>
      </c>
      <c r="I8" s="2" t="s">
        <v>390</v>
      </c>
      <c r="J8" s="2" t="s">
        <v>411</v>
      </c>
      <c r="K8" s="2" t="s">
        <v>391</v>
      </c>
      <c r="L8" s="2" t="s">
        <v>397</v>
      </c>
      <c r="M8" s="2" t="s">
        <v>408</v>
      </c>
      <c r="N8" s="2"/>
      <c r="O8" s="2" t="s">
        <v>321</v>
      </c>
      <c r="P8" s="2" t="s">
        <v>473</v>
      </c>
      <c r="Q8" s="2" t="s">
        <v>458</v>
      </c>
      <c r="R8" s="2" t="s">
        <v>442</v>
      </c>
      <c r="S8" s="2" t="s">
        <v>420</v>
      </c>
      <c r="T8" s="2" t="s">
        <v>369</v>
      </c>
      <c r="U8" s="2" t="s">
        <v>352</v>
      </c>
      <c r="V8" s="2"/>
      <c r="W8" s="2" t="s">
        <v>303</v>
      </c>
    </row>
    <row r="9" spans="1:23">
      <c r="C9" s="3" t="s">
        <v>137</v>
      </c>
      <c r="G9" s="2" t="s">
        <v>279</v>
      </c>
      <c r="H9" s="2" t="s">
        <v>400</v>
      </c>
      <c r="I9" s="2" t="s">
        <v>392</v>
      </c>
      <c r="J9" s="2" t="s">
        <v>412</v>
      </c>
      <c r="K9" s="2"/>
      <c r="L9" s="2"/>
      <c r="M9" s="2"/>
      <c r="N9" s="2"/>
      <c r="O9" s="2" t="s">
        <v>322</v>
      </c>
      <c r="P9" s="2" t="s">
        <v>474</v>
      </c>
      <c r="Q9" s="2" t="s">
        <v>459</v>
      </c>
      <c r="R9" s="2" t="s">
        <v>443</v>
      </c>
      <c r="S9" s="2" t="s">
        <v>421</v>
      </c>
      <c r="T9" s="2" t="s">
        <v>370</v>
      </c>
      <c r="U9" s="2" t="s">
        <v>353</v>
      </c>
      <c r="V9" s="2"/>
      <c r="W9" s="2" t="s">
        <v>304</v>
      </c>
    </row>
    <row r="10" spans="1:23">
      <c r="G10" s="2" t="s">
        <v>280</v>
      </c>
      <c r="H10" s="2" t="s">
        <v>389</v>
      </c>
      <c r="I10" s="2" t="s">
        <v>393</v>
      </c>
      <c r="J10" s="2" t="s">
        <v>413</v>
      </c>
      <c r="K10" s="2"/>
      <c r="L10" s="2"/>
      <c r="M10" s="2"/>
      <c r="N10" s="2"/>
      <c r="O10" s="2" t="s">
        <v>323</v>
      </c>
      <c r="P10" s="2" t="s">
        <v>475</v>
      </c>
      <c r="Q10" s="2" t="s">
        <v>460</v>
      </c>
      <c r="R10" s="2" t="s">
        <v>444</v>
      </c>
      <c r="S10" s="2" t="s">
        <v>422</v>
      </c>
      <c r="T10" s="2" t="s">
        <v>371</v>
      </c>
      <c r="U10" s="2" t="s">
        <v>354</v>
      </c>
      <c r="V10" s="2"/>
      <c r="W10" s="2" t="s">
        <v>305</v>
      </c>
    </row>
    <row r="11" spans="1:23">
      <c r="G11" s="2" t="s">
        <v>281</v>
      </c>
      <c r="H11" s="2" t="s">
        <v>390</v>
      </c>
      <c r="I11" s="2" t="s">
        <v>394</v>
      </c>
      <c r="J11" s="2" t="s">
        <v>388</v>
      </c>
      <c r="K11" s="2"/>
      <c r="L11" s="2"/>
      <c r="M11" s="2"/>
      <c r="N11" s="2"/>
      <c r="O11" s="2" t="s">
        <v>324</v>
      </c>
      <c r="P11" s="2" t="s">
        <v>476</v>
      </c>
      <c r="Q11" s="2" t="s">
        <v>461</v>
      </c>
      <c r="R11" s="2" t="s">
        <v>445</v>
      </c>
      <c r="S11" s="2" t="s">
        <v>423</v>
      </c>
      <c r="T11" s="2" t="s">
        <v>372</v>
      </c>
      <c r="U11" s="2" t="s">
        <v>355</v>
      </c>
      <c r="V11" s="2"/>
      <c r="W11" s="2" t="s">
        <v>306</v>
      </c>
    </row>
    <row r="12" spans="1:23">
      <c r="G12" s="2" t="s">
        <v>282</v>
      </c>
      <c r="H12" s="2" t="s">
        <v>401</v>
      </c>
      <c r="I12" s="2" t="s">
        <v>395</v>
      </c>
      <c r="J12" s="2" t="s">
        <v>414</v>
      </c>
      <c r="K12" s="2"/>
      <c r="L12" s="2"/>
      <c r="M12" s="2"/>
      <c r="N12" s="2"/>
      <c r="O12" s="2" t="s">
        <v>325</v>
      </c>
      <c r="P12" s="2" t="s">
        <v>477</v>
      </c>
      <c r="Q12" s="2" t="s">
        <v>462</v>
      </c>
      <c r="R12" s="2" t="s">
        <v>446</v>
      </c>
      <c r="S12" s="2" t="s">
        <v>424</v>
      </c>
      <c r="T12" s="2" t="s">
        <v>373</v>
      </c>
      <c r="U12" s="2" t="s">
        <v>356</v>
      </c>
      <c r="V12" s="2"/>
      <c r="W12" s="2" t="s">
        <v>307</v>
      </c>
    </row>
    <row r="13" spans="1:23">
      <c r="G13" s="2" t="s">
        <v>283</v>
      </c>
      <c r="H13" s="2" t="s">
        <v>402</v>
      </c>
      <c r="I13" s="2"/>
      <c r="J13" s="2" t="s">
        <v>415</v>
      </c>
      <c r="K13" s="2"/>
      <c r="L13" s="2"/>
      <c r="M13" s="2"/>
      <c r="N13" s="2"/>
      <c r="O13" s="2" t="s">
        <v>326</v>
      </c>
      <c r="P13" s="2" t="s">
        <v>478</v>
      </c>
      <c r="Q13" s="2" t="s">
        <v>463</v>
      </c>
      <c r="R13" s="2" t="s">
        <v>447</v>
      </c>
      <c r="S13" s="2" t="s">
        <v>425</v>
      </c>
      <c r="T13" s="2" t="s">
        <v>374</v>
      </c>
      <c r="U13" s="2" t="s">
        <v>357</v>
      </c>
      <c r="V13" s="2"/>
      <c r="W13" s="2" t="s">
        <v>308</v>
      </c>
    </row>
    <row r="14" spans="1:23">
      <c r="G14" s="2" t="s">
        <v>284</v>
      </c>
      <c r="H14" s="2" t="s">
        <v>403</v>
      </c>
      <c r="I14" s="2"/>
      <c r="J14" s="2"/>
      <c r="K14" s="2"/>
      <c r="L14" s="2"/>
      <c r="M14" s="2"/>
      <c r="N14" s="2"/>
      <c r="O14" s="2" t="s">
        <v>327</v>
      </c>
      <c r="P14" s="2" t="s">
        <v>479</v>
      </c>
      <c r="Q14" s="2" t="s">
        <v>464</v>
      </c>
      <c r="R14" s="2" t="s">
        <v>448</v>
      </c>
      <c r="S14" s="2" t="s">
        <v>426</v>
      </c>
      <c r="T14" s="2" t="s">
        <v>375</v>
      </c>
      <c r="U14" s="2" t="s">
        <v>358</v>
      </c>
      <c r="V14" s="2"/>
      <c r="W14" s="2" t="s">
        <v>309</v>
      </c>
    </row>
    <row r="15" spans="1:23">
      <c r="G15" s="2" t="s">
        <v>285</v>
      </c>
      <c r="H15" s="2" t="s">
        <v>289</v>
      </c>
      <c r="I15" s="2"/>
      <c r="J15" s="2"/>
      <c r="K15" s="2"/>
      <c r="L15" s="2"/>
      <c r="M15" s="2"/>
      <c r="N15" s="2"/>
      <c r="O15" s="2" t="s">
        <v>328</v>
      </c>
      <c r="P15" s="2"/>
      <c r="Q15" s="2" t="s">
        <v>465</v>
      </c>
      <c r="R15" s="2" t="s">
        <v>449</v>
      </c>
      <c r="S15" s="2" t="s">
        <v>427</v>
      </c>
      <c r="T15" s="2" t="s">
        <v>376</v>
      </c>
      <c r="U15" s="2" t="s">
        <v>315</v>
      </c>
      <c r="V15" s="2"/>
      <c r="W15" s="2" t="s">
        <v>310</v>
      </c>
    </row>
    <row r="16" spans="1:23">
      <c r="G16" s="2" t="s">
        <v>286</v>
      </c>
      <c r="H16" s="2" t="s">
        <v>404</v>
      </c>
      <c r="I16" s="2"/>
      <c r="J16" s="2"/>
      <c r="K16" s="2"/>
      <c r="L16" s="2"/>
      <c r="M16" s="2"/>
      <c r="N16" s="2"/>
      <c r="O16" s="2" t="s">
        <v>329</v>
      </c>
      <c r="P16" s="2"/>
      <c r="Q16" s="2" t="s">
        <v>466</v>
      </c>
      <c r="R16" s="2" t="s">
        <v>450</v>
      </c>
      <c r="S16" s="2" t="s">
        <v>428</v>
      </c>
      <c r="T16" s="2" t="s">
        <v>377</v>
      </c>
      <c r="U16" s="2" t="s">
        <v>359</v>
      </c>
      <c r="V16" s="2"/>
      <c r="W16" s="2" t="s">
        <v>311</v>
      </c>
    </row>
    <row r="17" spans="7:23">
      <c r="G17" s="2" t="s">
        <v>287</v>
      </c>
      <c r="H17" s="2" t="s">
        <v>405</v>
      </c>
      <c r="I17" s="2"/>
      <c r="J17" s="2"/>
      <c r="K17" s="2"/>
      <c r="L17" s="2"/>
      <c r="M17" s="2"/>
      <c r="N17" s="2"/>
      <c r="O17" s="2" t="s">
        <v>330</v>
      </c>
      <c r="P17" s="2"/>
      <c r="Q17" s="2" t="s">
        <v>467</v>
      </c>
      <c r="R17" s="2" t="s">
        <v>451</v>
      </c>
      <c r="S17" s="2" t="s">
        <v>429</v>
      </c>
      <c r="T17" s="2" t="s">
        <v>378</v>
      </c>
      <c r="U17" s="2" t="s">
        <v>360</v>
      </c>
      <c r="V17" s="2"/>
      <c r="W17" s="2" t="s">
        <v>312</v>
      </c>
    </row>
    <row r="18" spans="7:23">
      <c r="G18" s="2" t="s">
        <v>288</v>
      </c>
      <c r="H18" s="2" t="s">
        <v>406</v>
      </c>
      <c r="I18" s="2"/>
      <c r="J18" s="2"/>
      <c r="K18" s="2"/>
      <c r="L18" s="2"/>
      <c r="M18" s="2"/>
      <c r="N18" s="2"/>
      <c r="O18" s="2" t="s">
        <v>331</v>
      </c>
      <c r="P18" s="2"/>
      <c r="Q18" s="2" t="s">
        <v>468</v>
      </c>
      <c r="R18" s="2"/>
      <c r="S18" s="2" t="s">
        <v>430</v>
      </c>
      <c r="T18" s="2" t="s">
        <v>379</v>
      </c>
      <c r="U18" s="2" t="s">
        <v>361</v>
      </c>
      <c r="V18" s="2"/>
      <c r="W18" s="2" t="s">
        <v>313</v>
      </c>
    </row>
    <row r="19" spans="7:23">
      <c r="G19" s="2" t="s">
        <v>289</v>
      </c>
      <c r="H19" s="2" t="s">
        <v>407</v>
      </c>
      <c r="I19" s="2"/>
      <c r="J19" s="2"/>
      <c r="K19" s="2"/>
      <c r="L19" s="2"/>
      <c r="M19" s="2"/>
      <c r="N19" s="2"/>
      <c r="O19" s="2" t="s">
        <v>332</v>
      </c>
      <c r="P19" s="2"/>
      <c r="Q19" s="2"/>
      <c r="R19" s="2"/>
      <c r="S19" s="2" t="s">
        <v>431</v>
      </c>
      <c r="T19" s="2" t="s">
        <v>380</v>
      </c>
      <c r="U19" s="2" t="s">
        <v>362</v>
      </c>
      <c r="V19" s="2"/>
      <c r="W19" s="2" t="s">
        <v>314</v>
      </c>
    </row>
    <row r="20" spans="7:23">
      <c r="G20" s="2" t="s">
        <v>290</v>
      </c>
      <c r="H20" s="2"/>
      <c r="I20" s="2"/>
      <c r="J20" s="2"/>
      <c r="K20" s="2"/>
      <c r="L20" s="2"/>
      <c r="M20" s="2"/>
      <c r="N20" s="2"/>
      <c r="O20" s="2" t="s">
        <v>333</v>
      </c>
      <c r="P20" s="2"/>
      <c r="Q20" s="2"/>
      <c r="R20" s="2"/>
      <c r="S20" s="2" t="s">
        <v>432</v>
      </c>
      <c r="T20" s="2" t="s">
        <v>381</v>
      </c>
      <c r="U20" s="2" t="s">
        <v>363</v>
      </c>
      <c r="V20" s="2"/>
      <c r="W20" s="2" t="s">
        <v>315</v>
      </c>
    </row>
    <row r="21" spans="7:23">
      <c r="G21" s="2" t="s">
        <v>291</v>
      </c>
      <c r="H21" s="2"/>
      <c r="I21" s="2"/>
      <c r="J21" s="2"/>
      <c r="K21" s="2"/>
      <c r="L21" s="2"/>
      <c r="M21" s="2"/>
      <c r="N21" s="2"/>
      <c r="O21" s="2" t="s">
        <v>334</v>
      </c>
      <c r="P21" s="2"/>
      <c r="Q21" s="2"/>
      <c r="R21" s="2"/>
      <c r="S21" s="2" t="s">
        <v>433</v>
      </c>
      <c r="T21" s="2" t="s">
        <v>382</v>
      </c>
      <c r="U21" s="2" t="s">
        <v>364</v>
      </c>
      <c r="V21" s="2"/>
      <c r="W21" s="2" t="s">
        <v>316</v>
      </c>
    </row>
    <row r="22" spans="7:23">
      <c r="G22" s="2" t="s">
        <v>292</v>
      </c>
      <c r="H22" s="2"/>
      <c r="I22" s="2"/>
      <c r="J22" s="2"/>
      <c r="K22" s="2"/>
      <c r="L22" s="2"/>
      <c r="M22" s="2"/>
      <c r="N22" s="2"/>
      <c r="O22" s="2" t="s">
        <v>335</v>
      </c>
      <c r="P22" s="2"/>
      <c r="Q22" s="2"/>
      <c r="R22" s="2"/>
      <c r="S22" s="2" t="s">
        <v>434</v>
      </c>
      <c r="T22" s="2" t="s">
        <v>383</v>
      </c>
      <c r="U22" s="2"/>
      <c r="V22" s="2"/>
      <c r="W22" s="2"/>
    </row>
    <row r="23" spans="7:23">
      <c r="G23" s="2" t="s">
        <v>293</v>
      </c>
      <c r="H23" s="2"/>
      <c r="I23" s="2"/>
      <c r="J23" s="2"/>
      <c r="K23" s="2"/>
      <c r="L23" s="2"/>
      <c r="M23" s="2"/>
      <c r="N23" s="2"/>
      <c r="O23" s="2" t="s">
        <v>336</v>
      </c>
      <c r="P23" s="2"/>
      <c r="Q23" s="2"/>
      <c r="R23" s="2"/>
      <c r="S23" s="2" t="s">
        <v>435</v>
      </c>
      <c r="T23" s="2" t="s">
        <v>384</v>
      </c>
      <c r="U23" s="2"/>
      <c r="V23" s="2"/>
      <c r="W23" s="2"/>
    </row>
    <row r="24" spans="7:23">
      <c r="G24" s="2" t="s">
        <v>294</v>
      </c>
      <c r="H24" s="2"/>
      <c r="I24" s="2"/>
      <c r="J24" s="2"/>
      <c r="K24" s="2"/>
      <c r="L24" s="2"/>
      <c r="M24" s="2"/>
      <c r="N24" s="2"/>
      <c r="O24" s="2" t="s">
        <v>337</v>
      </c>
      <c r="P24" s="2"/>
      <c r="Q24" s="2"/>
      <c r="R24" s="2"/>
      <c r="S24" s="2" t="s">
        <v>436</v>
      </c>
      <c r="T24" s="2" t="s">
        <v>385</v>
      </c>
      <c r="U24" s="2"/>
      <c r="V24" s="2"/>
      <c r="W24" s="2"/>
    </row>
    <row r="25" spans="7:23">
      <c r="G25" s="2" t="s">
        <v>295</v>
      </c>
      <c r="H25" s="2"/>
      <c r="I25" s="2"/>
      <c r="J25" s="2"/>
      <c r="K25" s="2"/>
      <c r="L25" s="2"/>
      <c r="M25" s="2"/>
      <c r="N25" s="2"/>
      <c r="O25" s="2" t="s">
        <v>338</v>
      </c>
      <c r="P25" s="2"/>
      <c r="Q25" s="2"/>
      <c r="R25" s="2"/>
      <c r="S25" s="2" t="s">
        <v>437</v>
      </c>
      <c r="T25" s="2" t="s">
        <v>386</v>
      </c>
      <c r="U25" s="2"/>
      <c r="V25" s="2"/>
      <c r="W25" s="2"/>
    </row>
    <row r="26" spans="7:23">
      <c r="G26" s="2" t="s">
        <v>296</v>
      </c>
      <c r="H26" s="2"/>
      <c r="I26" s="2"/>
      <c r="J26" s="2"/>
      <c r="K26" s="2"/>
      <c r="L26" s="2"/>
      <c r="M26" s="2"/>
      <c r="N26" s="2"/>
      <c r="O26" s="2" t="s">
        <v>339</v>
      </c>
      <c r="P26" s="2"/>
      <c r="Q26" s="2"/>
      <c r="R26" s="2"/>
      <c r="S26" s="2"/>
      <c r="T26" s="2"/>
      <c r="U26" s="2"/>
      <c r="V26" s="2"/>
      <c r="W26" s="2"/>
    </row>
    <row r="27" spans="7:23">
      <c r="G27" s="2" t="s">
        <v>297</v>
      </c>
      <c r="H27" s="2"/>
      <c r="I27" s="2"/>
      <c r="J27" s="2"/>
      <c r="K27" s="2"/>
      <c r="L27" s="2"/>
      <c r="M27" s="2"/>
      <c r="N27" s="2"/>
      <c r="O27" s="2" t="s">
        <v>340</v>
      </c>
      <c r="P27" s="2"/>
      <c r="Q27" s="2"/>
      <c r="R27" s="2"/>
      <c r="S27" s="2"/>
      <c r="T27" s="2"/>
      <c r="U27" s="2"/>
      <c r="V27" s="2"/>
      <c r="W27" s="2"/>
    </row>
    <row r="28" spans="7:23">
      <c r="G28" s="2" t="s">
        <v>298</v>
      </c>
      <c r="H28" s="2"/>
      <c r="I28" s="2"/>
      <c r="J28" s="2"/>
      <c r="K28" s="2"/>
      <c r="L28" s="2"/>
      <c r="M28" s="2"/>
      <c r="N28" s="2"/>
      <c r="O28" s="2" t="s">
        <v>341</v>
      </c>
      <c r="P28" s="2"/>
      <c r="Q28" s="2"/>
      <c r="R28" s="2"/>
      <c r="S28" s="2"/>
      <c r="T28" s="2"/>
      <c r="U28" s="2"/>
      <c r="V28" s="2"/>
      <c r="W28" s="2"/>
    </row>
    <row r="29" spans="7:23">
      <c r="G29" s="2"/>
      <c r="H29" s="2"/>
      <c r="I29" s="2"/>
      <c r="J29" s="2"/>
      <c r="K29" s="2"/>
      <c r="L29" s="2"/>
      <c r="M29" s="2"/>
      <c r="N29" s="2"/>
      <c r="O29" s="2" t="s">
        <v>342</v>
      </c>
      <c r="P29" s="2"/>
      <c r="Q29" s="2"/>
      <c r="R29" s="2"/>
      <c r="S29" s="2"/>
      <c r="T29" s="2"/>
      <c r="U29" s="2"/>
      <c r="V29" s="2"/>
      <c r="W29" s="2"/>
    </row>
    <row r="30" spans="7:23">
      <c r="G30" s="2"/>
      <c r="H30" s="2"/>
      <c r="I30" s="2"/>
      <c r="J30" s="2"/>
      <c r="K30" s="2"/>
      <c r="L30" s="2"/>
      <c r="M30" s="2"/>
      <c r="N30" s="2"/>
      <c r="O30" s="2" t="s">
        <v>343</v>
      </c>
      <c r="P30" s="2"/>
      <c r="Q30" s="2"/>
      <c r="R30" s="2"/>
      <c r="S30" s="2"/>
      <c r="T30" s="2"/>
      <c r="U30" s="2"/>
      <c r="V30" s="2"/>
      <c r="W30" s="2"/>
    </row>
    <row r="31" spans="7:23">
      <c r="G31" s="2"/>
      <c r="H31" s="2"/>
      <c r="I31" s="2"/>
      <c r="J31" s="2"/>
      <c r="K31" s="2"/>
      <c r="L31" s="2"/>
      <c r="M31" s="2"/>
      <c r="N31" s="2"/>
      <c r="O31" s="2" t="s">
        <v>344</v>
      </c>
      <c r="P31" s="2"/>
      <c r="Q31" s="2"/>
      <c r="R31" s="2"/>
      <c r="S31" s="2"/>
      <c r="T31" s="2"/>
      <c r="U31" s="2"/>
      <c r="V31" s="2"/>
      <c r="W31" s="2"/>
    </row>
    <row r="32" spans="7:23">
      <c r="G32" s="2"/>
      <c r="H32" s="2"/>
      <c r="I32" s="2"/>
      <c r="J32" s="2"/>
      <c r="K32" s="2"/>
      <c r="L32" s="2"/>
      <c r="M32" s="2"/>
      <c r="N32" s="2"/>
      <c r="O32" s="2" t="s">
        <v>345</v>
      </c>
      <c r="P32" s="2"/>
      <c r="Q32" s="2"/>
      <c r="R32" s="2"/>
      <c r="S32" s="2"/>
      <c r="T32" s="2"/>
      <c r="U32" s="2"/>
      <c r="V32" s="2"/>
      <c r="W32" s="2"/>
    </row>
    <row r="33" spans="7:23">
      <c r="G33" s="2"/>
      <c r="H33" s="2"/>
      <c r="I33" s="2"/>
      <c r="J33" s="2"/>
      <c r="K33" s="2"/>
      <c r="L33" s="2"/>
      <c r="M33" s="2"/>
      <c r="N33" s="2"/>
      <c r="O33" s="2" t="s">
        <v>346</v>
      </c>
      <c r="P33" s="2"/>
      <c r="Q33" s="2"/>
      <c r="R33" s="2"/>
      <c r="S33" s="2"/>
      <c r="T33" s="2"/>
      <c r="U33" s="2"/>
      <c r="V33" s="2"/>
      <c r="W33" s="2"/>
    </row>
    <row r="34" spans="7:23">
      <c r="G34" s="2"/>
      <c r="H34" s="2"/>
      <c r="I34" s="2"/>
      <c r="J34" s="2"/>
      <c r="K34" s="2"/>
      <c r="L34" s="2"/>
      <c r="M34" s="2"/>
      <c r="N34" s="2"/>
      <c r="O34" s="2" t="s">
        <v>347</v>
      </c>
      <c r="P34" s="2"/>
      <c r="Q34" s="2"/>
      <c r="R34" s="2"/>
      <c r="S34" s="2"/>
      <c r="T34" s="2"/>
      <c r="U34" s="2"/>
      <c r="V34" s="2"/>
      <c r="W34" s="2"/>
    </row>
  </sheetData>
  <sheetProtection algorithmName="SHA-512" hashValue="CpW0Ed9B1xyGIhTnKxQKlaJmOI+jCbNg6jx2MEfGZGPfvPTttsP9zQAZkV4ecSIXlrH5btM5RXlNW5N7+mg8/w==" saltValue="MutpTJyQvsyWR0m6TZ1GZw==" spinCount="100000" sheet="1" objects="1" scenarios="1"/>
  <mergeCells count="1">
    <mergeCell ref="G2:W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19</vt:i4>
      </vt:variant>
    </vt:vector>
  </HeadingPairs>
  <TitlesOfParts>
    <vt:vector size="23" baseType="lpstr">
      <vt:lpstr>기업명</vt:lpstr>
      <vt:lpstr>출력서식</vt:lpstr>
      <vt:lpstr>경제적 성과 산정표(예시)</vt:lpstr>
      <vt:lpstr>목록시트</vt:lpstr>
      <vt:lpstr>출력서식!Print_Area</vt:lpstr>
      <vt:lpstr>강원특별자치도</vt:lpstr>
      <vt:lpstr>경기도</vt:lpstr>
      <vt:lpstr>경상남도</vt:lpstr>
      <vt:lpstr>경상북도</vt:lpstr>
      <vt:lpstr>광주광역시</vt:lpstr>
      <vt:lpstr>대구광역시</vt:lpstr>
      <vt:lpstr>대전광역시</vt:lpstr>
      <vt:lpstr>부산광역시</vt:lpstr>
      <vt:lpstr>서울특별시</vt:lpstr>
      <vt:lpstr>세종특별자치시</vt:lpstr>
      <vt:lpstr>시도</vt:lpstr>
      <vt:lpstr>울산광역시</vt:lpstr>
      <vt:lpstr>인천광역시</vt:lpstr>
      <vt:lpstr>전라남도</vt:lpstr>
      <vt:lpstr>전라북도</vt:lpstr>
      <vt:lpstr>제주특별자치도</vt:lpstr>
      <vt:lpstr>충청남도</vt:lpstr>
      <vt:lpstr>충청북도</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2024-02-26T23:26:18Z</cp:lastPrinted>
  <dcterms:created xsi:type="dcterms:W3CDTF">2023-11-27T02:56:12Z</dcterms:created>
  <dcterms:modified xsi:type="dcterms:W3CDTF">2024-07-23T07:45:18Z</dcterms:modified>
</cp:coreProperties>
</file>